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\Общая\ОТДЕЛ ПРОДАЖ\Действующий прайс\"/>
    </mc:Choice>
  </mc:AlternateContent>
  <bookViews>
    <workbookView xWindow="0" yWindow="0" windowWidth="14480" windowHeight="7440" tabRatio="840"/>
  </bookViews>
  <sheets>
    <sheet name="Оглавление" sheetId="19" r:id="rId1"/>
    <sheet name=" Котлы ТТ" sheetId="1" r:id="rId2"/>
    <sheet name="Комплектующие " sheetId="3" r:id="rId3"/>
    <sheet name="Печи банные, отопительные" sheetId="5" r:id="rId4"/>
    <sheet name="Котлы газовые" sheetId="2" r:id="rId5"/>
    <sheet name="Электропродукция(котлы,ПУЭ,ТЭН)" sheetId="10" r:id="rId6"/>
    <sheet name="Товары для дачи и отдыха" sheetId="7" r:id="rId7"/>
    <sheet name="Гидроарматура" sheetId="21" state="hidden" r:id="rId8"/>
    <sheet name="Скидка" sheetId="8" r:id="rId9"/>
    <sheet name="Лист1" sheetId="20" state="hidden" r:id="rId10"/>
    <sheet name="Распродажа" sheetId="13" state="hidden" r:id="rId11"/>
  </sheets>
  <calcPr calcId="152511"/>
</workbook>
</file>

<file path=xl/calcChain.xml><?xml version="1.0" encoding="utf-8"?>
<calcChain xmlns="http://schemas.openxmlformats.org/spreadsheetml/2006/main">
  <c r="H30" i="1" l="1"/>
  <c r="G30" i="1" l="1"/>
  <c r="H29" i="1"/>
  <c r="G29" i="1"/>
  <c r="H28" i="1"/>
  <c r="G28" i="1"/>
  <c r="G48" i="10" l="1"/>
  <c r="H48" i="10" s="1"/>
  <c r="G26" i="1" l="1"/>
  <c r="G25" i="1"/>
  <c r="G57" i="10" l="1"/>
  <c r="H57" i="10" s="1"/>
  <c r="G50" i="3" l="1"/>
  <c r="G38" i="3" l="1"/>
  <c r="H38" i="3" s="1"/>
  <c r="G23" i="2"/>
  <c r="G21" i="2"/>
  <c r="G19" i="2"/>
  <c r="G16" i="2"/>
  <c r="G14" i="2"/>
  <c r="G15" i="2"/>
  <c r="G12" i="2"/>
  <c r="G52" i="3"/>
  <c r="G13" i="2"/>
  <c r="G51" i="3"/>
  <c r="G49" i="3"/>
  <c r="G23" i="1"/>
  <c r="G13" i="1"/>
  <c r="G12" i="1"/>
  <c r="G17" i="1"/>
  <c r="G16" i="1"/>
  <c r="G18" i="1"/>
  <c r="G47" i="3" l="1"/>
  <c r="G46" i="3"/>
  <c r="H46" i="3" s="1"/>
  <c r="G45" i="3"/>
  <c r="H45" i="3" s="1"/>
  <c r="G44" i="3"/>
  <c r="H44" i="3" s="1"/>
  <c r="G41" i="3"/>
  <c r="H41" i="3" s="1"/>
  <c r="G12" i="5" l="1"/>
  <c r="H12" i="5" s="1"/>
  <c r="G13" i="5"/>
  <c r="H13" i="5" s="1"/>
  <c r="G12" i="21" l="1"/>
  <c r="H12" i="21" s="1"/>
  <c r="H10" i="21"/>
  <c r="F5" i="21"/>
  <c r="G20" i="1" l="1"/>
  <c r="H20" i="1" s="1"/>
  <c r="G52" i="10" l="1"/>
  <c r="G51" i="10"/>
  <c r="H51" i="10" s="1"/>
  <c r="G19" i="1" l="1"/>
  <c r="H17" i="1"/>
  <c r="H16" i="1"/>
  <c r="H47" i="3" l="1"/>
  <c r="H10" i="2"/>
  <c r="H12" i="2"/>
  <c r="H13" i="2"/>
  <c r="H14" i="2"/>
  <c r="H15" i="2"/>
  <c r="H16" i="2"/>
  <c r="G17" i="2"/>
  <c r="H17" i="2" s="1"/>
  <c r="H19" i="2"/>
  <c r="G20" i="2"/>
  <c r="H20" i="2" s="1"/>
  <c r="H21" i="2"/>
  <c r="G22" i="2"/>
  <c r="H22" i="2" s="1"/>
  <c r="H23" i="2"/>
  <c r="G24" i="2"/>
  <c r="H24" i="2" s="1"/>
  <c r="G15" i="1"/>
  <c r="G88" i="10" l="1"/>
  <c r="H88" i="10" s="1"/>
  <c r="G87" i="10"/>
  <c r="H87" i="10" s="1"/>
  <c r="G54" i="3"/>
  <c r="G43" i="3"/>
  <c r="G42" i="3"/>
  <c r="G40" i="3"/>
  <c r="G39" i="3"/>
  <c r="G37" i="3"/>
  <c r="G36" i="3"/>
  <c r="G35" i="3"/>
  <c r="G23" i="3"/>
  <c r="G41" i="7" l="1"/>
  <c r="H41" i="7" s="1"/>
  <c r="G31" i="7"/>
  <c r="G30" i="7"/>
  <c r="G24" i="7"/>
  <c r="G23" i="7"/>
  <c r="G22" i="7"/>
  <c r="G21" i="7"/>
  <c r="G34" i="10"/>
  <c r="G19" i="7"/>
  <c r="G18" i="7"/>
  <c r="G16" i="7"/>
  <c r="G15" i="7"/>
  <c r="G13" i="7"/>
  <c r="G12" i="7"/>
  <c r="G102" i="10"/>
  <c r="G99" i="10"/>
  <c r="G98" i="10"/>
  <c r="G97" i="10"/>
  <c r="G96" i="10"/>
  <c r="G95" i="10"/>
  <c r="G94" i="10"/>
  <c r="G93" i="10"/>
  <c r="G92" i="10"/>
  <c r="G91" i="10"/>
  <c r="G90" i="10"/>
  <c r="G85" i="10"/>
  <c r="G84" i="10"/>
  <c r="G82" i="10"/>
  <c r="G81" i="10"/>
  <c r="G80" i="10"/>
  <c r="G79" i="10"/>
  <c r="G78" i="10"/>
  <c r="G77" i="10"/>
  <c r="G76" i="10"/>
  <c r="G74" i="10"/>
  <c r="H74" i="10" s="1"/>
  <c r="G72" i="10"/>
  <c r="H72" i="10" s="1"/>
  <c r="G73" i="10"/>
  <c r="G71" i="10"/>
  <c r="G70" i="10"/>
  <c r="G69" i="10"/>
  <c r="H69" i="10" s="1"/>
  <c r="G67" i="10"/>
  <c r="H67" i="10" s="1"/>
  <c r="G68" i="10"/>
  <c r="G66" i="10"/>
  <c r="G65" i="10"/>
  <c r="G54" i="10"/>
  <c r="G50" i="10"/>
  <c r="G49" i="10"/>
  <c r="G20" i="10" l="1"/>
  <c r="H20" i="10" s="1"/>
  <c r="G63" i="10"/>
  <c r="G62" i="10"/>
  <c r="G60" i="10"/>
  <c r="G59" i="10"/>
  <c r="G58" i="10"/>
  <c r="G56" i="10"/>
  <c r="G35" i="10"/>
  <c r="H35" i="10" s="1"/>
  <c r="H34" i="10"/>
  <c r="G33" i="10"/>
  <c r="H33" i="10" s="1"/>
  <c r="G32" i="10"/>
  <c r="H32" i="10" s="1"/>
  <c r="G23" i="10"/>
  <c r="H23" i="10" s="1"/>
  <c r="G30" i="10"/>
  <c r="H30" i="10" s="1"/>
  <c r="G31" i="10"/>
  <c r="H31" i="10" s="1"/>
  <c r="G29" i="10"/>
  <c r="H29" i="10" s="1"/>
  <c r="G27" i="10"/>
  <c r="H27" i="10" s="1"/>
  <c r="G25" i="10"/>
  <c r="H25" i="10" s="1"/>
  <c r="G26" i="10"/>
  <c r="H26" i="10" s="1"/>
  <c r="G24" i="10"/>
  <c r="H24" i="10" s="1"/>
  <c r="G21" i="10" l="1"/>
  <c r="G19" i="10"/>
  <c r="G18" i="10"/>
  <c r="G16" i="10"/>
  <c r="G15" i="10"/>
  <c r="G14" i="10"/>
  <c r="G13" i="10"/>
  <c r="G19" i="5"/>
  <c r="G18" i="5"/>
  <c r="G17" i="5"/>
  <c r="G15" i="5"/>
  <c r="H15" i="5" s="1"/>
  <c r="G14" i="5"/>
  <c r="G30" i="3" l="1"/>
  <c r="G29" i="3"/>
  <c r="G28" i="3"/>
  <c r="G27" i="3"/>
  <c r="G25" i="3"/>
  <c r="G21" i="3"/>
  <c r="G19" i="3"/>
  <c r="H19" i="3" s="1"/>
  <c r="G18" i="3"/>
  <c r="G15" i="3"/>
  <c r="G20" i="3"/>
  <c r="G17" i="3"/>
  <c r="G13" i="3"/>
  <c r="G12" i="3"/>
  <c r="G24" i="1" l="1"/>
  <c r="H24" i="1" s="1"/>
  <c r="H23" i="1"/>
  <c r="G22" i="1"/>
  <c r="G21" i="1"/>
  <c r="H19" i="1"/>
  <c r="H13" i="1" l="1"/>
  <c r="G28" i="7" l="1"/>
  <c r="H28" i="7" s="1"/>
  <c r="G27" i="7" l="1"/>
  <c r="H27" i="7" s="1"/>
  <c r="G40" i="7" l="1"/>
  <c r="H40" i="7" s="1"/>
  <c r="G38" i="7" l="1"/>
  <c r="H38" i="7" s="1"/>
  <c r="G37" i="7"/>
  <c r="H37" i="7" s="1"/>
  <c r="G36" i="7"/>
  <c r="H36" i="7" s="1"/>
  <c r="G35" i="7"/>
  <c r="H35" i="7" s="1"/>
  <c r="G34" i="7"/>
  <c r="H34" i="7" s="1"/>
  <c r="G33" i="7"/>
  <c r="H33" i="7" s="1"/>
  <c r="G26" i="7"/>
  <c r="H26" i="7" s="1"/>
  <c r="G25" i="7"/>
  <c r="H25" i="7" s="1"/>
  <c r="H24" i="7" l="1"/>
  <c r="H23" i="7"/>
  <c r="H21" i="7"/>
  <c r="H16" i="7"/>
  <c r="H15" i="7"/>
  <c r="H13" i="7"/>
  <c r="H12" i="7"/>
  <c r="G103" i="10"/>
  <c r="G101" i="10"/>
  <c r="G43" i="10"/>
  <c r="G39" i="10"/>
  <c r="G37" i="10"/>
  <c r="G42" i="10"/>
  <c r="G41" i="10"/>
  <c r="G40" i="10"/>
  <c r="G38" i="10"/>
  <c r="H19" i="5"/>
  <c r="H18" i="5"/>
  <c r="H17" i="5"/>
  <c r="H14" i="5"/>
  <c r="G73" i="3"/>
  <c r="G72" i="3"/>
  <c r="G71" i="3"/>
  <c r="G70" i="3"/>
  <c r="G69" i="3"/>
  <c r="G68" i="3"/>
  <c r="G67" i="3"/>
  <c r="H72" i="3" l="1"/>
  <c r="H71" i="3"/>
  <c r="H70" i="3"/>
  <c r="H69" i="3"/>
  <c r="H68" i="3"/>
  <c r="H67" i="3"/>
  <c r="G66" i="3"/>
  <c r="H66" i="3" s="1"/>
  <c r="G65" i="3"/>
  <c r="H65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H73" i="3"/>
  <c r="H57" i="3"/>
  <c r="G33" i="3"/>
  <c r="H59" i="10" l="1"/>
  <c r="H58" i="10"/>
  <c r="H60" i="10"/>
  <c r="H54" i="10" l="1"/>
  <c r="G5" i="19" l="1"/>
  <c r="H25" i="3" l="1"/>
  <c r="H10" i="1"/>
  <c r="H10" i="3"/>
  <c r="H10" i="5"/>
  <c r="H80" i="10" l="1"/>
  <c r="H79" i="10"/>
  <c r="H78" i="10"/>
  <c r="H77" i="10"/>
  <c r="H76" i="10"/>
  <c r="H73" i="10"/>
  <c r="H71" i="10"/>
  <c r="H70" i="10"/>
  <c r="H66" i="10"/>
  <c r="H65" i="10"/>
  <c r="H68" i="10"/>
  <c r="H103" i="10" l="1"/>
  <c r="H102" i="10"/>
  <c r="H101" i="10"/>
  <c r="H56" i="10"/>
  <c r="H52" i="10"/>
  <c r="H10" i="7"/>
  <c r="H10" i="10"/>
  <c r="H33" i="3"/>
  <c r="H31" i="7" l="1"/>
  <c r="H30" i="7"/>
  <c r="H99" i="10"/>
  <c r="H98" i="10"/>
  <c r="H97" i="10"/>
  <c r="H96" i="10"/>
  <c r="H95" i="10"/>
  <c r="H94" i="10"/>
  <c r="H93" i="10"/>
  <c r="H92" i="10"/>
  <c r="H91" i="10"/>
  <c r="H90" i="10"/>
  <c r="H85" i="10"/>
  <c r="H84" i="10"/>
  <c r="H82" i="10"/>
  <c r="H81" i="10"/>
  <c r="H63" i="10"/>
  <c r="H62" i="10"/>
  <c r="H50" i="10"/>
  <c r="H49" i="10"/>
  <c r="H43" i="10"/>
  <c r="H42" i="10"/>
  <c r="H41" i="10"/>
  <c r="H40" i="10"/>
  <c r="H39" i="10"/>
  <c r="H38" i="10"/>
  <c r="H37" i="10"/>
  <c r="H21" i="10"/>
  <c r="H19" i="10"/>
  <c r="H18" i="10"/>
  <c r="H16" i="10"/>
  <c r="H15" i="10"/>
  <c r="H14" i="10"/>
  <c r="H13" i="10"/>
  <c r="F5" i="10"/>
  <c r="H54" i="3" l="1"/>
  <c r="H52" i="3"/>
  <c r="H51" i="3"/>
  <c r="H50" i="3"/>
  <c r="H49" i="3"/>
  <c r="H43" i="3"/>
  <c r="H42" i="3"/>
  <c r="H40" i="3"/>
  <c r="H39" i="3"/>
  <c r="H37" i="3"/>
  <c r="H36" i="3"/>
  <c r="H35" i="3"/>
  <c r="H30" i="3"/>
  <c r="H29" i="3"/>
  <c r="H28" i="3"/>
  <c r="H27" i="3"/>
  <c r="H17" i="3"/>
  <c r="H23" i="3"/>
  <c r="H21" i="3"/>
  <c r="H20" i="3"/>
  <c r="H18" i="3"/>
  <c r="H15" i="3"/>
  <c r="H13" i="3"/>
  <c r="H12" i="3"/>
  <c r="H12" i="1"/>
  <c r="F5" i="7"/>
  <c r="F5" i="5"/>
  <c r="F5" i="3"/>
  <c r="F5" i="2"/>
  <c r="F5" i="1"/>
  <c r="H22" i="7" l="1"/>
  <c r="H19" i="7"/>
  <c r="H18" i="7"/>
  <c r="H26" i="1"/>
  <c r="H25" i="1"/>
  <c r="H22" i="1"/>
  <c r="H21" i="1"/>
  <c r="H18" i="1"/>
  <c r="H15" i="1"/>
</calcChain>
</file>

<file path=xl/sharedStrings.xml><?xml version="1.0" encoding="utf-8"?>
<sst xmlns="http://schemas.openxmlformats.org/spreadsheetml/2006/main" count="1153" uniqueCount="633">
  <si>
    <t>Группа компаний СТЭН</t>
  </si>
  <si>
    <t>630001, Новосибирск, Сухарная, 35 к8</t>
  </si>
  <si>
    <t>8(383)303-44-30  ru@sten.ru  www.sten.ru</t>
  </si>
  <si>
    <t>НАИМЕНОВАНИЕ</t>
  </si>
  <si>
    <t>ОПИСАНИЕ</t>
  </si>
  <si>
    <t xml:space="preserve"> Каракан-8 ТПЭ</t>
  </si>
  <si>
    <t xml:space="preserve"> Каракан-8 ТПЭ-3</t>
  </si>
  <si>
    <t xml:space="preserve"> Каракан-9 ТЭГ</t>
  </si>
  <si>
    <t xml:space="preserve"> Каракан-9 ТЭГ-3</t>
  </si>
  <si>
    <t xml:space="preserve"> Каракан-10 ТПЭ</t>
  </si>
  <si>
    <t xml:space="preserve"> Каракан-10 ТПЭВ</t>
  </si>
  <si>
    <t xml:space="preserve"> Каракан-10 ТПЭ К</t>
  </si>
  <si>
    <t xml:space="preserve"> Каракан-11 ТПЭ</t>
  </si>
  <si>
    <t xml:space="preserve"> Каракан-11 ТПЭ-3</t>
  </si>
  <si>
    <t xml:space="preserve"> Каракан-12 Т</t>
  </si>
  <si>
    <t xml:space="preserve"> Каракан-12 ТЭГ</t>
  </si>
  <si>
    <t xml:space="preserve"> Каракан-12 ТЭГВ</t>
  </si>
  <si>
    <t xml:space="preserve"> Каракан-15 ТПЭ</t>
  </si>
  <si>
    <t xml:space="preserve"> Каракан-15 ТПЭВ</t>
  </si>
  <si>
    <t xml:space="preserve"> Каракан-18 ТПЭ(01)</t>
  </si>
  <si>
    <t xml:space="preserve"> Каракан-18 ТПЭ </t>
  </si>
  <si>
    <t xml:space="preserve"> Каракан-18 ТПЭ -3</t>
  </si>
  <si>
    <t xml:space="preserve"> Каракан-20 ТЭГ</t>
  </si>
  <si>
    <t xml:space="preserve"> Каракан-20 ТЭГ -3</t>
  </si>
  <si>
    <t xml:space="preserve"> Каракан-20 ТЭГВ</t>
  </si>
  <si>
    <t xml:space="preserve"> Каракан-30 ТЭГ</t>
  </si>
  <si>
    <t xml:space="preserve"> Каракан-30 ТЭГВ</t>
  </si>
  <si>
    <t>МОЩНОСТЬ, кВт</t>
  </si>
  <si>
    <t>ИНФОРМАЦИЯ</t>
  </si>
  <si>
    <t>круглый, вертикально вверх</t>
  </si>
  <si>
    <t>Съемный круглый на задней стенке</t>
  </si>
  <si>
    <t xml:space="preserve"> Съемный круглый на задней стенке</t>
  </si>
  <si>
    <t xml:space="preserve">ОПИСАНИЕ </t>
  </si>
  <si>
    <t>ЭЛКО-6/02</t>
  </si>
  <si>
    <t>ЭЛКО-30/02</t>
  </si>
  <si>
    <t>ЭВП-3</t>
  </si>
  <si>
    <t>ЭВП-6</t>
  </si>
  <si>
    <t>ЭВП-9</t>
  </si>
  <si>
    <t>ЭВП-12</t>
  </si>
  <si>
    <t>ЧАУС-3</t>
  </si>
  <si>
    <t>ЧАУС-6</t>
  </si>
  <si>
    <t>ЧАУС-9</t>
  </si>
  <si>
    <t>САЛАИР-3</t>
  </si>
  <si>
    <t>САЛАИР-3Ц</t>
  </si>
  <si>
    <t>САЛАИР-6</t>
  </si>
  <si>
    <t>САЛАИР-6Ц</t>
  </si>
  <si>
    <t>САЛАИР-9</t>
  </si>
  <si>
    <t>САЛАИР-9Ц</t>
  </si>
  <si>
    <t>САЛАИР-12</t>
  </si>
  <si>
    <t>САЛАИР-12Ц</t>
  </si>
  <si>
    <t>САЛАИР-15</t>
  </si>
  <si>
    <t>САЛАИР-15Ц</t>
  </si>
  <si>
    <t>САЛАИР-18</t>
  </si>
  <si>
    <t>САЛАИР-18Ц</t>
  </si>
  <si>
    <t>САЛАИР-21</t>
  </si>
  <si>
    <t>САЛАИР-25</t>
  </si>
  <si>
    <t>САЛАИР-28</t>
  </si>
  <si>
    <t>САЛАИР-36</t>
  </si>
  <si>
    <t>САЛАИР-45</t>
  </si>
  <si>
    <t>САЛАИР-70</t>
  </si>
  <si>
    <t>САЛАИР-90</t>
  </si>
  <si>
    <t>МОЩНОСТЬ, кВт / СТУПЕНИ</t>
  </si>
  <si>
    <t>2-4-6</t>
  </si>
  <si>
    <t>1-2-3</t>
  </si>
  <si>
    <t>3-6-9</t>
  </si>
  <si>
    <t>4-8-12</t>
  </si>
  <si>
    <t>6-9-12-15-21</t>
  </si>
  <si>
    <t>6-9-15-18-25</t>
  </si>
  <si>
    <t>9-18-27</t>
  </si>
  <si>
    <t>12-24-36</t>
  </si>
  <si>
    <t>15-30-45</t>
  </si>
  <si>
    <t>31-62-92</t>
  </si>
  <si>
    <t>24-48-72</t>
  </si>
  <si>
    <t>КЛАПАНЫ ПРЕДОХРАНИТЕЛЬНЫЕ</t>
  </si>
  <si>
    <t xml:space="preserve">Комфорт-ПУЭ-6/02 </t>
  </si>
  <si>
    <t>Комфорт-ПУЭ-6Ц</t>
  </si>
  <si>
    <t>Комфорт-ПУЭ-10/01</t>
  </si>
  <si>
    <t>Комфорт-ПУЭ-10/03</t>
  </si>
  <si>
    <t>Комфорт-ПУЭ-10/Ц</t>
  </si>
  <si>
    <t>Комфорт-ПУЭ-15</t>
  </si>
  <si>
    <t>ГИЛЬЗА ТЕПЛОКОНТРОЛЯ</t>
  </si>
  <si>
    <t xml:space="preserve">Гильза-теплоконтроля </t>
  </si>
  <si>
    <t>Блок -3х4 кВт,  резьба  2", Р-3 атм.  нерж. сталь</t>
  </si>
  <si>
    <t>БЛОКИ ТЭНОВ</t>
  </si>
  <si>
    <t>Футорка ДУ 50-40</t>
  </si>
  <si>
    <t>Футорка ДУ 40-15</t>
  </si>
  <si>
    <t>Регулятор тяги</t>
  </si>
  <si>
    <t>Термометр накладной</t>
  </si>
  <si>
    <t>Диапазон 0-120 ˚С</t>
  </si>
  <si>
    <t>Аварийный термоограничитель KSD301 (85)</t>
  </si>
  <si>
    <t>Терморегулятор                     РТН-10</t>
  </si>
  <si>
    <t>Терморегулятор WY40</t>
  </si>
  <si>
    <t>Терморегулятор WY85</t>
  </si>
  <si>
    <t>Терморегулятор WY120</t>
  </si>
  <si>
    <t>Терморегулятор WY320</t>
  </si>
  <si>
    <t>Терморегулятор WY400</t>
  </si>
  <si>
    <t>Диапазон 0-40 ˚С</t>
  </si>
  <si>
    <t>Диапазон 0-85 ˚С</t>
  </si>
  <si>
    <t>Диапазон 25-120 ˚С</t>
  </si>
  <si>
    <t>Диапазон 50-320 ˚С</t>
  </si>
  <si>
    <t>Диапазон 50-400 ˚С</t>
  </si>
  <si>
    <t>ГАЗОВЫЕ ГОРЕЛКИ</t>
  </si>
  <si>
    <t>УГ-12 (автоматика Sit630)</t>
  </si>
  <si>
    <t>УГ-24 (автоматика Sit630)</t>
  </si>
  <si>
    <t>УГ-36 (автоматика 710 Minisit)</t>
  </si>
  <si>
    <t>Гильза под газовую горелку</t>
  </si>
  <si>
    <t>УГ-15 (автоматика Sit630)</t>
  </si>
  <si>
    <t>Горелка для котла КАРАКАН 9 (гильза в комплекте)</t>
  </si>
  <si>
    <t>Горелка для котла КАРАКАН 12 (гильза в комплекте)</t>
  </si>
  <si>
    <t>Горелка для котла КАРАКАН 20 (гильза в комплекте)</t>
  </si>
  <si>
    <t>Горелка для котла КАРАКАН 30 (гильза в комплекте)</t>
  </si>
  <si>
    <t>ПЕРЕХОДНИКИ, ОТВОДЫ В ДЫМОХОД</t>
  </si>
  <si>
    <t>Заглушка для установки переходника КВ-КВ</t>
  </si>
  <si>
    <t>Переходник дымохода на Каракан 10/12 ПГ-КВ</t>
  </si>
  <si>
    <t>Переходник дымохода на Каракан 30  ПГ-КВ</t>
  </si>
  <si>
    <t>Переходник дымохода на Каракан 15/20   ПГ-КВ</t>
  </si>
  <si>
    <t>Переходник Каракан 8/11  КВ-ПГ</t>
  </si>
  <si>
    <t xml:space="preserve">Переходник Каракан 18 КВ-ПГ </t>
  </si>
  <si>
    <t>Дымоход котла Каракан 12-20 ПГ</t>
  </si>
  <si>
    <t>Дымоход котла Каракан 12-20 КГ</t>
  </si>
  <si>
    <t>Дымоход котла Каракан 20 ПГ (комплект с заглушкой и крышкой)</t>
  </si>
  <si>
    <t>Дымоход котла Каракан 20 КГ (комплект с заглушкой и крышкой)</t>
  </si>
  <si>
    <t>Дымоход котла  Каракан 30 ПГ</t>
  </si>
  <si>
    <t>Дымоход  котла Каракан 30 КГ</t>
  </si>
  <si>
    <t>Дымоход котла Каракан 12-20 КВ</t>
  </si>
  <si>
    <t>Дымоход  котла Каракан 30 КВ</t>
  </si>
  <si>
    <t>Бак расширительный 10л</t>
  </si>
  <si>
    <t>Бак расширительный 20л</t>
  </si>
  <si>
    <t>Бак расширительный 30л</t>
  </si>
  <si>
    <t>Бак расширительный 40л</t>
  </si>
  <si>
    <t>Бак расширительный открытого типа на 10л</t>
  </si>
  <si>
    <t>Бак расширительный открытого типа на 20л</t>
  </si>
  <si>
    <t>Бак расширительный открытого типа на 30л</t>
  </si>
  <si>
    <t>Бак расширительный открытого типа на 40л</t>
  </si>
  <si>
    <t>Ведро-Углярка 10л</t>
  </si>
  <si>
    <t>Ведро-углярка 14л</t>
  </si>
  <si>
    <t>Для Каракан 10/12</t>
  </si>
  <si>
    <t>Для Каракан 15/20/30</t>
  </si>
  <si>
    <t>ЗАПАСНЫЕ ЧАСТИ, КОМПЛЕКТУЮЩИЕ К КОТЛАМ КАРАКАН</t>
  </si>
  <si>
    <t>Дверца 02</t>
  </si>
  <si>
    <t>Колосник 200х300</t>
  </si>
  <si>
    <t>Колосник 300х300</t>
  </si>
  <si>
    <t>Плита чугунная на Каракан-10</t>
  </si>
  <si>
    <t>Плита чугунная на Каракан-15</t>
  </si>
  <si>
    <t>Плита стальная на Каракан-8</t>
  </si>
  <si>
    <t>Плита стальная на Каракан-11</t>
  </si>
  <si>
    <t>Плита стальная на Каракан-15</t>
  </si>
  <si>
    <t>Зольник 01</t>
  </si>
  <si>
    <t>Зольник 02</t>
  </si>
  <si>
    <t>Зольник 03</t>
  </si>
  <si>
    <t>Шуровка большая</t>
  </si>
  <si>
    <t>Шуровка малая</t>
  </si>
  <si>
    <t>Совок большой</t>
  </si>
  <si>
    <t>Совок малый</t>
  </si>
  <si>
    <t>на Каракан  с газ.горелкой</t>
  </si>
  <si>
    <t>на Каракан 15, 20</t>
  </si>
  <si>
    <t>на Каркан 10</t>
  </si>
  <si>
    <t>на Каракан 15</t>
  </si>
  <si>
    <t>на Каракан 8</t>
  </si>
  <si>
    <t>на Каракан 11</t>
  </si>
  <si>
    <t>на Каракан 10,12</t>
  </si>
  <si>
    <t>на Каракан 15,20</t>
  </si>
  <si>
    <t>на Каракан 30</t>
  </si>
  <si>
    <t>на Каракан 15, 20, 30</t>
  </si>
  <si>
    <t>Аварийный датчик к эл.котлам Салаир, тепловентиляторам Скиф (зап часть)</t>
  </si>
  <si>
    <t>По температуре воздуха, для Электрокотлов Салаир, ПУЭ-10/01,  ПУЭ-15 Накладной    (0-40 ˚С), 10А</t>
  </si>
  <si>
    <t>По температуре воздуха, для Электрокотлов Салаир, ПУЭ-10/01,  ПУЭ-15      Встраиваемый     (0-40 ˚С), 10А</t>
  </si>
  <si>
    <t>По температуре воздуха, для Электрокотлов Салаир, ПУЭ-10/01,  ПУЭ-15      Накладной    (0-40 ˚С), цифровой термометр, 10А</t>
  </si>
  <si>
    <t>По температуре ВОДЫ,  для поддержания заданной температуры  теплоносителя   путем автоматического размыкания и замыкания электрической цепи питания исполнительного элемента, 10А</t>
  </si>
  <si>
    <t>ЗАГЛУШКИ, ФУТОРКИ</t>
  </si>
  <si>
    <t>Терморегулятор          РТВН-10</t>
  </si>
  <si>
    <t>Терморегулятор          РТВВ-10</t>
  </si>
  <si>
    <t>Терморегулятор          РТВН-10.01</t>
  </si>
  <si>
    <t>Барга 600В</t>
  </si>
  <si>
    <t>Барга 450В</t>
  </si>
  <si>
    <t>Барга 450М</t>
  </si>
  <si>
    <t>Мангал разборный</t>
  </si>
  <si>
    <t>Мангал "Замок"/01</t>
  </si>
  <si>
    <t>Кольцо под Казан</t>
  </si>
  <si>
    <t xml:space="preserve">Сумка для Мангала </t>
  </si>
  <si>
    <t>ТЕПЛОВЕНТИЛЯТОРЫ СКИФ</t>
  </si>
  <si>
    <t>Скиф-3</t>
  </si>
  <si>
    <t>Скиф-12</t>
  </si>
  <si>
    <t>Скиф-5</t>
  </si>
  <si>
    <t>2/3</t>
  </si>
  <si>
    <t>2,5/5</t>
  </si>
  <si>
    <t>7,5/11,25</t>
  </si>
  <si>
    <t>220В, 1фазное подключение, диапазон регулирования температуры 0-40 ˚С, расход 300 м куб./ч</t>
  </si>
  <si>
    <t>380В, 3фазное подключение, диапазон регулирования температуры 0-40 ˚С, расход 900 м куб./ч</t>
  </si>
  <si>
    <t>ПЭТ-4М</t>
  </si>
  <si>
    <t>ФЛЮГЕРЫ</t>
  </si>
  <si>
    <t>Флюгер-Н</t>
  </si>
  <si>
    <t>СОЛНЕЧНЫЕ ЧАСЫ</t>
  </si>
  <si>
    <t>Часы 001</t>
  </si>
  <si>
    <t>Часы 002</t>
  </si>
  <si>
    <t>ДРОВНИЦЫ</t>
  </si>
  <si>
    <t>Дровница 001</t>
  </si>
  <si>
    <t>Дровница 002</t>
  </si>
  <si>
    <t>Размер 440Х400Х350 мм</t>
  </si>
  <si>
    <t>Размер 350Х350Х300 мм</t>
  </si>
  <si>
    <t>Подставка под котёл Каракан 8 ТПЭ</t>
  </si>
  <si>
    <t>Подставка под котёл Каракан 11 ТПЭ</t>
  </si>
  <si>
    <t>БАННЫЕ ПЕЧИ</t>
  </si>
  <si>
    <t>Парабель 12 (1.2.1)</t>
  </si>
  <si>
    <t>Флюгер</t>
  </si>
  <si>
    <t>Угледробилка "Щелкунчик" (механическая)</t>
  </si>
  <si>
    <t>Дробилка для угля механическая</t>
  </si>
  <si>
    <t>Парабель 16 (1.2.1)</t>
  </si>
  <si>
    <t>Парабель 20 (1.2.1)</t>
  </si>
  <si>
    <t>до 12 м. куб., банная печь с предтопочным тоннелем, открытая сетка-каменка, сталь 6 мм</t>
  </si>
  <si>
    <t>до 16 м. куб., банная печь с предтопочным тоннелем, открытая сетка-каменка, сталь 6 мм</t>
  </si>
  <si>
    <t>до 20 м. куб., банная печь с предтопочным тоннелем, открытая сетка-каменка, сталь 6 мм</t>
  </si>
  <si>
    <t>%</t>
  </si>
  <si>
    <t>СКИДКА,%</t>
  </si>
  <si>
    <t>РОЗНИЧНАЯ ЦЕНА, руб.</t>
  </si>
  <si>
    <t>СКИДКА, %</t>
  </si>
  <si>
    <t>ПРАЙС-ЛИСТ  от</t>
  </si>
  <si>
    <t>ПРАЙС-ЛИСТ от</t>
  </si>
  <si>
    <t>Укажите актуальную дату</t>
  </si>
  <si>
    <t>ДАТА</t>
  </si>
  <si>
    <t>Не забудьте поменять наименование валюты!</t>
  </si>
  <si>
    <t>ПЕРЕСЧЁТ ПО КУРСУ (валюта за 1 руб.)</t>
  </si>
  <si>
    <t>Клапан предохран 1,5  бар</t>
  </si>
  <si>
    <t>Клапан предохран   3 бар</t>
  </si>
  <si>
    <t>рубль</t>
  </si>
  <si>
    <t>Печи банные, отопительные</t>
  </si>
  <si>
    <t>Внимание: регулятор тяги, газовая горелка, заглушка ТЭНБ  комлектуются отдельно, см. другой</t>
  </si>
  <si>
    <t>ТЭНБ, пульт управления ПУЭ  комлектуются отдельно, см. другой</t>
  </si>
  <si>
    <t>КОТЛЫ ЭЛЕКТРИЧЕСКИЕ</t>
  </si>
  <si>
    <t>ТЕРМОРЕГУЛЯТОРЫ</t>
  </si>
  <si>
    <t>Датчик темпе-ры  KSD301</t>
  </si>
  <si>
    <t>Переходник с плиты на дымоход КВ</t>
  </si>
  <si>
    <t>ВЕДРО-УГЛЯРКА</t>
  </si>
  <si>
    <t>ДРОБИЛКА ДЛЯ УГЛЯ</t>
  </si>
  <si>
    <t>10</t>
  </si>
  <si>
    <t>12</t>
  </si>
  <si>
    <t>Прайс Комплектующие</t>
  </si>
  <si>
    <t>Прайс Электропродукция</t>
  </si>
  <si>
    <t>ТГ1</t>
  </si>
  <si>
    <t>ТГ2</t>
  </si>
  <si>
    <t>ТГ3</t>
  </si>
  <si>
    <t>ПЕЧИ ОТОПИТЕЛЬНЫЕ</t>
  </si>
  <si>
    <t>ТГ - Товарная группа</t>
  </si>
  <si>
    <t>Каракан 7ЭГ 3</t>
  </si>
  <si>
    <t>Каракан 7ЭГВ 3</t>
  </si>
  <si>
    <t>Каракан 10ЭГ 3</t>
  </si>
  <si>
    <t>Каракан 10ЭГВ 3</t>
  </si>
  <si>
    <t>Каракан 12ЭГ 3</t>
  </si>
  <si>
    <t>Каракан 12ЭГВ 3</t>
  </si>
  <si>
    <t>7</t>
  </si>
  <si>
    <t>Каракан 7ЭГ 3 (SIT)</t>
  </si>
  <si>
    <t>Каракан 7ЭГВ 3(SIT)</t>
  </si>
  <si>
    <t>Каракан 10ЭГ 3(SIT)</t>
  </si>
  <si>
    <t>Каракан 10ЭГВ 3(SIT)</t>
  </si>
  <si>
    <t>Каракан 12ЭГ 3(SIT)</t>
  </si>
  <si>
    <t>Каракан 12ЭГВ 3(SIT)</t>
  </si>
  <si>
    <t xml:space="preserve">Котёл стальной газовый, термомеханическая горелка </t>
  </si>
  <si>
    <t>Котёл стальной газовый, горелка с автоматикой SIT</t>
  </si>
  <si>
    <t>Внимание! ТЭНБ, пульт управления ПУЭ  комлектуются отдельно, см. другой</t>
  </si>
  <si>
    <t>прайс-лист Электропродукция</t>
  </si>
  <si>
    <t>Заглушка/ Пробка   1 1/4"</t>
  </si>
  <si>
    <t>Заглушка/ Пробка   2"</t>
  </si>
  <si>
    <t>Котёл стальной газовый, термомеханическая горелка</t>
  </si>
  <si>
    <t>Серия САЛАИР</t>
  </si>
  <si>
    <t>ТЭНБ с терморегулятором</t>
  </si>
  <si>
    <t>ТЭНБ 1¼″</t>
  </si>
  <si>
    <t>ТЭНБ 1½″</t>
  </si>
  <si>
    <t>ТЭНБ 2″</t>
  </si>
  <si>
    <t>ТЭНБ 2½″</t>
  </si>
  <si>
    <t>РЕГУЛЯТОР ТЯГИ</t>
  </si>
  <si>
    <t>ТЕРМОМЕТРЫ</t>
  </si>
  <si>
    <t>ПРАЙС-ЛИСТ</t>
  </si>
  <si>
    <t>Колпак для ТЭНБ</t>
  </si>
  <si>
    <t>Пластиковый защитный колпак для ТЭНБ</t>
  </si>
  <si>
    <t>на сайте www.sten.ru</t>
  </si>
  <si>
    <t>и в каталоге</t>
  </si>
  <si>
    <t>Оглавление</t>
  </si>
  <si>
    <t>Скидка на продукцию СТЭН предоставляется на основании договора поставки для юридических лиц</t>
  </si>
  <si>
    <t xml:space="preserve">   Подробная информация 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</si>
  <si>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>Комплектующие</t>
    </r>
    <r>
      <rPr>
        <sz val="11"/>
        <color theme="1" tint="0.14999847407452621"/>
        <rFont val="Century Gothic"/>
        <family val="2"/>
        <charset val="204"/>
      </rPr>
      <t xml:space="preserve"> </t>
    </r>
    <r>
      <rPr>
        <sz val="9"/>
        <color theme="1" tint="0.14999847407452621"/>
        <rFont val="Century Gothic"/>
        <family val="2"/>
        <charset val="204"/>
      </rPr>
      <t>(клапаны предохранительные, заглушки, гильза теплоконтроля, дробилка для угля, подставка для котла, регулятор тяги, термометры, горелки, переходники, расширительные баки, зап. части)</t>
    </r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</si>
  <si>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>Печи банные, отопительные</t>
    </r>
    <r>
      <rPr>
        <sz val="11"/>
        <color theme="1" tint="0.14999847407452621"/>
        <rFont val="Century Gothic"/>
        <family val="2"/>
        <charset val="204"/>
      </rPr>
      <t xml:space="preserve"> </t>
    </r>
    <r>
      <rPr>
        <sz val="9"/>
        <color theme="1" tint="0.14999847407452621"/>
        <rFont val="Century Gothic"/>
        <family val="2"/>
        <charset val="204"/>
      </rPr>
      <t>(Барга, Парабель)</t>
    </r>
  </si>
  <si>
    <r>
      <t xml:space="preserve">  Котлы газовые </t>
    </r>
    <r>
      <rPr>
        <sz val="9"/>
        <color theme="1" tint="0.14999847407452621"/>
        <rFont val="Century Gothic"/>
        <family val="2"/>
        <charset val="204"/>
      </rPr>
      <t>(Каракан ЭГ)</t>
    </r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</si>
  <si>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 xml:space="preserve">Электропродукция </t>
    </r>
    <r>
      <rPr>
        <sz val="11"/>
        <color theme="1" tint="0.14999847407452621"/>
        <rFont val="Century Gothic"/>
        <family val="2"/>
        <charset val="204"/>
      </rPr>
      <t>(</t>
    </r>
    <r>
      <rPr>
        <sz val="9"/>
        <color theme="1" tint="0.14999847407452621"/>
        <rFont val="Century Gothic"/>
        <family val="2"/>
        <charset val="204"/>
      </rPr>
      <t>котлы Салаир, Чаус, ЭВП, пульты ПУЭ, ТЭНБ, Терморегуляторы, Тепловентиляторы</t>
    </r>
    <r>
      <rPr>
        <sz val="11"/>
        <color theme="1" tint="0.14999847407452621"/>
        <rFont val="Century Gothic"/>
        <family val="2"/>
        <charset val="204"/>
      </rPr>
      <t>)</t>
    </r>
  </si>
  <si>
    <t>9 кВт, до 225 м куб, двойной экран, дровяная, размер поленьев до 600 мм</t>
  </si>
  <si>
    <t>6 кВт, до 150 м куб, двойной экран, дровяная, размер поленьев до 450 мм</t>
  </si>
  <si>
    <t>5 кВт, до 90 м куб. одинарный экран, дровяная, размер поленьев до 450 мм</t>
  </si>
  <si>
    <t>3 фазное подкл. аналоговое управление</t>
  </si>
  <si>
    <r>
      <rPr>
        <b/>
        <sz val="9"/>
        <rFont val="Calibri"/>
        <family val="2"/>
        <charset val="204"/>
        <scheme val="minor"/>
      </rPr>
      <t>Для управления ТЭНб до 6 кВт(однофазный,2 ТЭНа)</t>
    </r>
    <r>
      <rPr>
        <sz val="9"/>
        <rFont val="Calibri"/>
        <family val="2"/>
        <charset val="204"/>
        <scheme val="minor"/>
      </rPr>
      <t xml:space="preserve">; крепление на стене; комлектуется для Каракан 8/10/11/12 </t>
    </r>
  </si>
  <si>
    <r>
      <rPr>
        <b/>
        <sz val="9"/>
        <rFont val="Calibri"/>
        <family val="2"/>
        <charset val="204"/>
        <scheme val="minor"/>
      </rPr>
      <t>Для управлением ТЭНб до 6 кВт(однофазный)/10 кВт(трёхфазный)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(3 ТЭНа)</t>
    </r>
    <r>
      <rPr>
        <sz val="9"/>
        <rFont val="Calibri"/>
        <family val="2"/>
        <charset val="204"/>
        <scheme val="minor"/>
      </rPr>
      <t>; крепление на стене; совместим с КАРАКАН 15/18/20/30, независимое включение ступеней</t>
    </r>
  </si>
  <si>
    <r>
      <rPr>
        <b/>
        <sz val="9"/>
        <rFont val="Calibri"/>
        <family val="2"/>
        <charset val="204"/>
        <scheme val="minor"/>
      </rPr>
      <t>Мощность подключения ТЭНб до 6 кВт(однофазный)/15 кВт(трёхфазный)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(3 ТЭНа)</t>
    </r>
    <r>
      <rPr>
        <sz val="9"/>
        <rFont val="Calibri"/>
        <family val="2"/>
        <charset val="204"/>
        <scheme val="minor"/>
      </rPr>
      <t>; крепление на стене; совместим с КАРАКАН 15/18/20/30</t>
    </r>
  </si>
  <si>
    <t>ТЭНБР-3-1¼″T</t>
  </si>
  <si>
    <t>ТЭНБР-4-1¼″T</t>
  </si>
  <si>
    <t>ТЭНБР-5-1¼″T</t>
  </si>
  <si>
    <t>Укажите НДС,%</t>
  </si>
  <si>
    <t>СТАВКА НДС</t>
  </si>
  <si>
    <t>Комплектующие к котлам "Каракан" ; расширительные баки, термометры, регуляторы тяги, газовые горелки, дробилка для угля, переходники, зап. части</t>
  </si>
  <si>
    <t>Укажите скидку от РРЦ для зап. Частей</t>
  </si>
  <si>
    <t xml:space="preserve">Укажите актуальный курс </t>
  </si>
  <si>
    <t>Скидка на продукцию по ТГ</t>
  </si>
  <si>
    <t>Скидка на запасные части</t>
  </si>
  <si>
    <t>Для экспортного прайса ставка НДС 0</t>
  </si>
  <si>
    <t>Устанавливается на день изменения цен</t>
  </si>
  <si>
    <t>РРЦ - рекомендованная розничная цена</t>
  </si>
  <si>
    <t>Котлы газовые напольные, с возможностью использования электровставки</t>
  </si>
  <si>
    <t>Котлы газовые напольные с термомеханической горелкой</t>
  </si>
  <si>
    <t>Котлы газовые напольные с автоматикой Eurosit 630</t>
  </si>
  <si>
    <t>Котёл стальной газовый, термомеханическая горелка,   контур ГВС</t>
  </si>
  <si>
    <t xml:space="preserve">Котёл стальной газовый, термомеханическая горелка,  контур ГВС </t>
  </si>
  <si>
    <t xml:space="preserve">Котёл стальной газовый, термомеханическая горелка, контур ГВС </t>
  </si>
  <si>
    <t>Котёл стальной газовый, горелка с автоматикой SIT, контур ГВС</t>
  </si>
  <si>
    <t>Котёл стальной газовый, горелка с автоматикой SIT,  контур ГВС</t>
  </si>
  <si>
    <t xml:space="preserve">Котлы отопительные электрические, мощность от 1 до 90 кВт; 1фазный- 3хфазный, ступенчатое регулирование, исполнение с цифровым контроллером; ПУЭ -пульты управления нагревателями; блоки ТЭНов; Терморегуляторы; Тепловентиляторы;                                                                  </t>
  </si>
  <si>
    <t>Товары для усадьбы и интерьера: мангалы, флюгеры, солнечные часы, дровницы, экраны для конвекторов</t>
  </si>
  <si>
    <t>Заглушка ввода 275х160</t>
  </si>
  <si>
    <t>Экран 275х95</t>
  </si>
  <si>
    <t>Заглушка глухая 275х160</t>
  </si>
  <si>
    <t>Экран 610х95</t>
  </si>
  <si>
    <t>Заглушка ввода 610х140</t>
  </si>
  <si>
    <t>Заглушка глухая 610х140</t>
  </si>
  <si>
    <t>ДЕКОРАТИВНЫЕ ЭКРАНЫ ДЛЯ РАДИАТОРОВ ОТОПЛЕНИЯ</t>
  </si>
  <si>
    <t>ТЭН Аристон 1¼″ (лицензионный, пр-во Китай) с терморегулятором</t>
  </si>
  <si>
    <t>ТЭНБ-4-1¼″-Ч (пр-во СТЭН)</t>
  </si>
  <si>
    <t>ТЭНБ-6-1¼″-Ч (пр-во СТЭН)</t>
  </si>
  <si>
    <t>ТЭНБ-3-1½″-Ч (пр-во СТЭН)</t>
  </si>
  <si>
    <t>ТЭНБ-6-1½″-Ч (пр-во СТЭН)</t>
  </si>
  <si>
    <t>ТЭНБ-9-1½″-Ч (пр-во СТЭН)</t>
  </si>
  <si>
    <t>ТЭНБ-3-1½″-НЧ (пр-во СТЭН)</t>
  </si>
  <si>
    <t>ТЭНБ-6-1½″-НЧ (пр-во СТЭН)</t>
  </si>
  <si>
    <t>ТЭНБ-9-1½″-НЧ (пр-во СТЭН)</t>
  </si>
  <si>
    <t>ТЭНБ-3-2″-Ч (пр-во СТЭН)</t>
  </si>
  <si>
    <t>ТЭНБ-6-2"-Ч (пр-во СТЭН)</t>
  </si>
  <si>
    <t>ТЭНБ-9-2"-Ч (пр-во СТЭН)</t>
  </si>
  <si>
    <t>ТЭНБ-12-2"-Ч (пр-во СТЭН)</t>
  </si>
  <si>
    <t>ТЭНБ-6-2″-НЧ (пр-во СТЭН)</t>
  </si>
  <si>
    <t>ТЭНБ-9-2"-НЧ (пр-во СТЭН)</t>
  </si>
  <si>
    <t>ТЭНБ-12-2"-НЧ (пр-во СТЭН)</t>
  </si>
  <si>
    <t>ТЭНБ-6-2½"-Ч (пр-во СТЭН)</t>
  </si>
  <si>
    <t>ТЭНБ-9-2½"-Ч (пр-во СТЭН)</t>
  </si>
  <si>
    <t>МАНГАЛЫ, ПЕЧИ ПОД КАЗАН</t>
  </si>
  <si>
    <t>Печь под казан "Кзанка-370"</t>
  </si>
  <si>
    <t>Печь "Казан-Мангал"</t>
  </si>
  <si>
    <t xml:space="preserve"> Переносная сумка для разборного мангала</t>
  </si>
  <si>
    <t>Укажите дополнительную скидку</t>
  </si>
  <si>
    <t>Дополнительная компенсационная скидка указывается на акционные позиции на время проведения акций</t>
  </si>
  <si>
    <t>Дополнительная скидка на акционные позиции для оптовой скидки</t>
  </si>
  <si>
    <t xml:space="preserve"> Каракан-9 ТЭГВ</t>
  </si>
  <si>
    <t>Панно "Подкова и лошадь"</t>
  </si>
  <si>
    <t>Панно "Подкова"</t>
  </si>
  <si>
    <t xml:space="preserve">Декоративное панно размер мм 512х434х1,5 </t>
  </si>
  <si>
    <t>Декор в виде подковы мм 122х124х3</t>
  </si>
  <si>
    <t>ДЕКОРАТИВНОЕ ПАННО</t>
  </si>
  <si>
    <t>Стальной, 600х400</t>
  </si>
  <si>
    <t xml:space="preserve"> Стальной, 600х400</t>
  </si>
  <si>
    <t xml:space="preserve"> Размер 650Х850Х1300мм</t>
  </si>
  <si>
    <t xml:space="preserve"> Размер 450Х700Х900мм</t>
  </si>
  <si>
    <t>Мангал разборный, дрова,уголь, 630х330х610, сталь 2мм</t>
  </si>
  <si>
    <t>Мангал полустационарный в виде замка, дрова, уголь</t>
  </si>
  <si>
    <t xml:space="preserve">  Для установки на мангал</t>
  </si>
  <si>
    <t>Печь под казан "Казанка-370"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</si>
  <si>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>Прочая продукция</t>
    </r>
    <r>
      <rPr>
        <sz val="11"/>
        <color theme="1" tint="0.14999847407452621"/>
        <rFont val="Century Gothic"/>
        <family val="2"/>
        <charset val="204"/>
      </rPr>
      <t xml:space="preserve"> </t>
    </r>
    <r>
      <rPr>
        <sz val="9"/>
        <color theme="1" tint="0.14999847407452621"/>
        <rFont val="Century Gothic"/>
        <family val="2"/>
        <charset val="204"/>
      </rPr>
      <t>(мангалы, дровница, солнечные часы, флюгеры)</t>
    </r>
  </si>
  <si>
    <t>для котлов с рабочим давлением 1 атмосфера, диаметр 3/4 пр-во Италия Malgorani</t>
  </si>
  <si>
    <t>для котлов с рабочим давлением  3 атмосферы, диаметр 3/4 пр-во Италия Malgorani</t>
  </si>
  <si>
    <t>Барга 600М</t>
  </si>
  <si>
    <t>9 кВт, до 150 м куб. одинарный экран, дровяная, размер поленьев до 600 мм</t>
  </si>
  <si>
    <t>Барга 450</t>
  </si>
  <si>
    <t>Барга 600</t>
  </si>
  <si>
    <t>Печь "КазанОК"</t>
  </si>
  <si>
    <t>Плита круглая "Буржуйка"</t>
  </si>
  <si>
    <t>Плита круглая чугунная для печи "Казанок", толщина 10 мм</t>
  </si>
  <si>
    <t xml:space="preserve"> Декоративный экран для конвектора отопительного КСК -20 ( глубина 160мм) цвета белый или бежевый, 1 секция, размер 275 мм х 95 мм</t>
  </si>
  <si>
    <t>Декоративный экран для конвектора отопительного КСК -20 ( глубина 160мм) цвета белый или бежевый. Торцевой элемент на вводе, 1 секция, размер 275 мм х 160 мм</t>
  </si>
  <si>
    <t xml:space="preserve"> Декоративный экран для конвектора отопительного КСК -20 ( глубина 160мм) цвет белый или бежевый. Торцевой элемент, 1 секция,  275  х 160 мм</t>
  </si>
  <si>
    <t xml:space="preserve">  Декоративный экран для батарей (чугунная батарея МС-140-500), цвета белый или бежевый, 1 секция, размер 610 мм х 95 мм</t>
  </si>
  <si>
    <t xml:space="preserve"> Декоративный экран для батарей (чугунная батарея МС-140-500), цвета белый или бежевый. Торцевой элемент на вводе, 1 секция,  610 х 140 мм</t>
  </si>
  <si>
    <t>Декоративный экран для батарей (чугунная батарея МС-140-500) цвет белый или бежевый. Торцевой элемент, 1 секция,  размер 610 мм х 140 мм</t>
  </si>
  <si>
    <t xml:space="preserve">ТЭНБ-4-1¼″-Ч </t>
  </si>
  <si>
    <t xml:space="preserve">ТЭНБ-6-1¼″-Ч </t>
  </si>
  <si>
    <r>
      <t>ТЭНБ-3-1</t>
    </r>
    <r>
      <rPr>
        <b/>
        <sz val="11"/>
        <rFont val="Calibri"/>
        <family val="2"/>
        <charset val="204"/>
      </rPr>
      <t>½</t>
    </r>
    <r>
      <rPr>
        <b/>
        <sz val="11"/>
        <rFont val="Calibri"/>
        <family val="2"/>
        <charset val="204"/>
        <scheme val="minor"/>
      </rPr>
      <t xml:space="preserve">″-Ч </t>
    </r>
  </si>
  <si>
    <t xml:space="preserve">ТЭНБ-6-1½″-Ч </t>
  </si>
  <si>
    <t xml:space="preserve">ТЭНБ-9-1½″-Ч </t>
  </si>
  <si>
    <t>ТЭНБ-3-1½″-НЧ</t>
  </si>
  <si>
    <t xml:space="preserve">ТЭНБ-6-1½″-НЧ </t>
  </si>
  <si>
    <t>ТЭНБ-9-1½″-НЧ</t>
  </si>
  <si>
    <t xml:space="preserve">ТЭНБ-3-2″-Ч </t>
  </si>
  <si>
    <t xml:space="preserve">ТЭНБ-6-2"-Ч </t>
  </si>
  <si>
    <t xml:space="preserve">ТЭНБ-9-2"-Ч </t>
  </si>
  <si>
    <t xml:space="preserve">ТЭНБ-12-2"-Ч </t>
  </si>
  <si>
    <t xml:space="preserve">ТЭНБ-6-2″-НЧ </t>
  </si>
  <si>
    <t>ТЭНБ-9-2"-НЧ</t>
  </si>
  <si>
    <t xml:space="preserve">ТЭНБ-12-2"-НЧ </t>
  </si>
  <si>
    <r>
      <t>ТЭНБ-6-2½"-Ч</t>
    </r>
    <r>
      <rPr>
        <b/>
        <sz val="7"/>
        <rFont val="Calibri"/>
        <family val="2"/>
        <charset val="204"/>
        <scheme val="minor"/>
      </rPr>
      <t xml:space="preserve"> </t>
    </r>
  </si>
  <si>
    <t xml:space="preserve">ТЭНБ-9-2½"-Ч </t>
  </si>
  <si>
    <t xml:space="preserve"> ЭВП</t>
  </si>
  <si>
    <t>СТЭН Эконом</t>
  </si>
  <si>
    <t>СТЭН Эконом 3</t>
  </si>
  <si>
    <t>СТЭН Эконом 6</t>
  </si>
  <si>
    <t>СТЭН Эконом 9</t>
  </si>
  <si>
    <t>СТЭН ЭВПМ</t>
  </si>
  <si>
    <t>2,5-5-7,5</t>
  </si>
  <si>
    <t>1-2</t>
  </si>
  <si>
    <t>2-4</t>
  </si>
  <si>
    <t>2,5-5</t>
  </si>
  <si>
    <t>3-6</t>
  </si>
  <si>
    <t>СТЭН Стандарт</t>
  </si>
  <si>
    <t xml:space="preserve">ТЭНБ-7,5-1½″-Ч </t>
  </si>
  <si>
    <t xml:space="preserve">ТЭНБ-7,5-1½″-НЧ </t>
  </si>
  <si>
    <t>СТЭН Эконом 7,5</t>
  </si>
  <si>
    <t>1-3 фазное подкл. Для управления котлом  требуется пульт  ПУЭ 10/03</t>
  </si>
  <si>
    <t>1-3 фазное подкл. Для управления котлом  требуется пульт ПУЭ 10/03</t>
  </si>
  <si>
    <t>1-3 фазное подкл. аналоговый термостат (5-85),      2 независимые ступени мощности, клавиша управления насосом, защита по перегреву, теплоизоляция корпуса,рабочее давление 3 атм</t>
  </si>
  <si>
    <t>3 фазное подкл. аналоговый термостат (5-85),          2 независимые ступени мощности, клавиша управления насосом, защита по перегреву, теплоизоляция корпуса,рабочее давление 3 атм</t>
  </si>
  <si>
    <t>3 фазное подкл. аналоговое управление, напольный, промышленная серия</t>
  </si>
  <si>
    <t>4-8</t>
  </si>
  <si>
    <t>5-10-15</t>
  </si>
  <si>
    <t>6-12-18</t>
  </si>
  <si>
    <t xml:space="preserve">2,5-3 </t>
  </si>
  <si>
    <t xml:space="preserve">ТЭН Аристон 1¼″ </t>
  </si>
  <si>
    <t xml:space="preserve">ТЭНБ-12-1½″-Ч </t>
  </si>
  <si>
    <t xml:space="preserve">Блок -3х1 кВт,  резьба  1½″, Р-3 атм.  Нерж. сталь, </t>
  </si>
  <si>
    <t xml:space="preserve"> Блок -3х2 кВт,  резьба  1½″, Р-3 атм. Нерж сталь, </t>
  </si>
  <si>
    <t xml:space="preserve">Блок -3х3 кВт,  резьба 1½″, Р-3 атм. нерж сталь, </t>
  </si>
  <si>
    <t xml:space="preserve"> Блок -3х4 кВт,  резьба 1½″, Р-3 атм. нерж сталь, </t>
  </si>
  <si>
    <t>ТЭНБ-12-1½″-НЧ</t>
  </si>
  <si>
    <t>Блок -3х3 кВт,  резьба  2", Р-3 атм.  нерж. Cталь</t>
  </si>
  <si>
    <t>Блок -3х2 кВт,  резьба  2", Р-3 атм.  нерж. сталь</t>
  </si>
  <si>
    <t xml:space="preserve">3 кВт,  резьба  1¼″, Р-3 атм.  Углеродистая сталь </t>
  </si>
  <si>
    <t xml:space="preserve">3 кВт,  резьба  1¼″, Р-3 атм.  Углеродистая сталь, </t>
  </si>
  <si>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4 кВт,  резьба  1¼″, Р-3 атм.  Углеродистая сталь</t>
    </r>
  </si>
  <si>
    <t>5 кВт,  резьба  1¼″, Р-3 атм.  Углеродистая сталь</t>
  </si>
  <si>
    <t>Блок -2х2 кВт,  резьба  1¼″, Р-3 атм. Углеродистая сталь</t>
  </si>
  <si>
    <t>Блок -2х3 кВт,  резьба  1¼″, Р-3 атм. Углеродистая сталь</t>
  </si>
  <si>
    <t xml:space="preserve"> Блок -3х1 кВт,  резьба  1½″, Р-3 атм. Углеродистая сталь</t>
  </si>
  <si>
    <t xml:space="preserve">Блок -3х2 кВт,  резьба  1½″, Р-3 атм.  Углеродистая сталь, </t>
  </si>
  <si>
    <t>Блок -3х2,5 кВт,  резьба  1½″, Р-3 атм.  Углеродистая сталь</t>
  </si>
  <si>
    <t xml:space="preserve"> Блок -3х3 кВт,  резьба 1½″, Р-3 атм. Углеродистая сталь</t>
  </si>
  <si>
    <t xml:space="preserve"> Блок -3х4 кВт,  резьба 1½″, Р-3 атм. Углеродистая сталь, </t>
  </si>
  <si>
    <t>Блок -3х1 кВт,  резьба  2″, Р-3 атм. Углеродистая сталь</t>
  </si>
  <si>
    <t xml:space="preserve">Блок -3х2 кВт,  резьба  2″, Р-3 атм. Углеродистая сталь </t>
  </si>
  <si>
    <t>Блок -3х3 кВт,  резьба  2″, Р-3 атм. Углеродистая сталь</t>
  </si>
  <si>
    <t>Блок -3х4 кВт,  резьба  2",  Р-3 атм.Углеродистая сталь</t>
  </si>
  <si>
    <t>Блок -3х2  кВт,  резьба  2½",     Р-3 атм. Углеродистая сталь</t>
  </si>
  <si>
    <t>Блок -3х3,15  кВт,  резьба  2½", Р-3 атм.  Углеродистая сталь</t>
  </si>
  <si>
    <t>Ключи для ТЭНБ</t>
  </si>
  <si>
    <t>Дымоход</t>
  </si>
  <si>
    <t>Подставка металлическая сборная для котла Каракан 8 ТПЭ, 8 ТПЭ-3, 9 ТЭГ-3</t>
  </si>
  <si>
    <t xml:space="preserve">Подставка под котёл </t>
  </si>
  <si>
    <t>на Каракан 10-12, 30 (На К-30 необходимо 2 шт.)</t>
  </si>
  <si>
    <t>Ключ накидной 50 мм для  ТЭНБ 1¼″, ТЭНБ 1½″</t>
  </si>
  <si>
    <t>Ключ накидной 60 мм для  2″</t>
  </si>
  <si>
    <t xml:space="preserve">Ключ накидной 50 </t>
  </si>
  <si>
    <t>Ключ наидной 60</t>
  </si>
  <si>
    <t>Новинка!           СТЭН mini 7</t>
  </si>
  <si>
    <t>Новинка!           СТЭН mini 11</t>
  </si>
  <si>
    <t xml:space="preserve"> Новинка!                    Каракан-14 ТПЭ-3</t>
  </si>
  <si>
    <t xml:space="preserve"> Новинка!              Каракан-20 ТПЭ-3</t>
  </si>
  <si>
    <t xml:space="preserve"> Новинка!               Каракан-20 ТПЭВ-3</t>
  </si>
  <si>
    <t>предназначена для  обеспечения установки теплоконтролирующих элементов для использования ПУЭ с котлами других производителей,        (с выходными штуцерами подачи горячей воды не более G 1 1/2 .)</t>
  </si>
  <si>
    <t>Сталь. глухая совместима с котлами КАРАКАН 15/18/20/30</t>
  </si>
  <si>
    <t>РАСШИРИТЕЛЬНЫЕ БАКИ ОТКРЫТОГО ТИПА</t>
  </si>
  <si>
    <t>Чугун, глухая совместима с котлами КАРАКАН 8/11/10/12/14               СТЭН mini 7/11</t>
  </si>
  <si>
    <t>Сталь.  глухая совместима с котлами КАРАКАН 15/18/20 ТПЭ3/30</t>
  </si>
  <si>
    <t>Новинка!              СТЭН ЭВПМ 3</t>
  </si>
  <si>
    <t>Новинка!              СТЭН ЭВПМ 6</t>
  </si>
  <si>
    <t>Новинка!                  СТЭН ЭВПМ 7,5</t>
  </si>
  <si>
    <t>Новинка!                СТЭН ЭВПМ 9</t>
  </si>
  <si>
    <t>Новинка!                СТЭН ЭВПМ 12</t>
  </si>
  <si>
    <t>Новинка!               СТЭН Стандарт 3</t>
  </si>
  <si>
    <t>Новинка!                       СТЭН Стандарт 6</t>
  </si>
  <si>
    <t>Новинка!                      СТЭН Стандарт 7,5</t>
  </si>
  <si>
    <t>Новинка!                  СТЭН Стандарт 9</t>
  </si>
  <si>
    <t>Новинка!                 СТЭН Стандарт 12</t>
  </si>
  <si>
    <t>Новинка!                 СТЭН Стандарт 15</t>
  </si>
  <si>
    <t>Новинка!                СТЭН Стандарт 18</t>
  </si>
  <si>
    <r>
      <t xml:space="preserve">тв. топливо, под электровставку,                            3 атм, варочная плита.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</si>
  <si>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под газ. горелку    1 атм, контур для ГВС,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</si>
  <si>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>Скидка для РРЦ не предусматривается, скидка для партнёров 10%</t>
  </si>
  <si>
    <t xml:space="preserve">           ЭВП              СТЭН ЭВПМ              СТЭН Стандарт                  ПУЭ                              ТЭНБ                      Терморегулятор         Тепловентиляторы</t>
  </si>
  <si>
    <t>Клапаны               Гильза                Заглушка                    Регулятор тяги                       Горелки газ                         Переходники                             Баки</t>
  </si>
  <si>
    <t xml:space="preserve">                Флюгеры             Печь Казан-мангал                Печь КазанОК                   Дровница                            Мангалы                           Ведро-углярка</t>
  </si>
  <si>
    <t xml:space="preserve">                                Барга                                                                       Барга 450М                                                                             Парабель</t>
  </si>
  <si>
    <r>
      <t xml:space="preserve">3 фазное подкл. 3 независимые ступени мощности, аналоговый термостат (5-85), клавиша управления насосом, ТЭН нерж.,  двойная защита по перегреву, теплоизоляция корпуса, подключение комнатного термостата или внешнего GSM модуля рабочее давление 4,5 атм. </t>
    </r>
    <r>
      <rPr>
        <sz val="10"/>
        <color rgb="FFFF0000"/>
        <rFont val="Calibri"/>
        <family val="2"/>
        <charset val="204"/>
        <scheme val="minor"/>
      </rPr>
      <t>Увеличенная полная гарантия 2 года</t>
    </r>
  </si>
  <si>
    <t>Заглушка/ Пробка   1½″</t>
  </si>
  <si>
    <t xml:space="preserve">    2" -   1½″</t>
  </si>
  <si>
    <t xml:space="preserve">   1 1½″ -  ½″</t>
  </si>
  <si>
    <t>Внимание! Продукция в подразделе "Запасные части, комплектующие к котлам Каракан" не относится к Товарной группе 2</t>
  </si>
  <si>
    <t>ТГ4</t>
  </si>
  <si>
    <t>ТГ5</t>
  </si>
  <si>
    <t>ТГ6</t>
  </si>
  <si>
    <r>
      <t xml:space="preserve">1-3 фазное подкл. 3 независимые ступени мощности, аналоговый термостат (5-85), клавиша управления насосом (синхронно-несинхронно), ТЭН нерж.,  двойная защита по перегреву, теплоизоляция корпуса, подключение комнатного термостата или внешнего GSM модуля, рабочее давление 4,5 атм </t>
    </r>
    <r>
      <rPr>
        <sz val="10"/>
        <color rgb="FFFF0000"/>
        <rFont val="Calibri"/>
        <family val="2"/>
        <charset val="204"/>
        <scheme val="minor"/>
      </rPr>
      <t>Увеличенная полная гарантия 2 года</t>
    </r>
  </si>
  <si>
    <t>Котлы газовые ТГ4</t>
  </si>
  <si>
    <t>Товары для дачи и отдыха ТГ6</t>
  </si>
  <si>
    <r>
      <t xml:space="preserve">  Скидка на продукцию (</t>
    </r>
    <r>
      <rPr>
        <sz val="9"/>
        <color theme="1" tint="0.14999847407452621"/>
        <rFont val="Century Gothic"/>
        <family val="2"/>
        <charset val="204"/>
      </rPr>
      <t>ввод скидки вручную для автоматического расчёта прайс-листа</t>
    </r>
    <r>
      <rPr>
        <sz val="12"/>
        <color theme="1" tint="0.14999847407452621"/>
        <rFont val="Century Gothic"/>
        <family val="2"/>
        <charset val="204"/>
      </rPr>
      <t>)</t>
    </r>
  </si>
  <si>
    <t>Укажите скидку для товарной группы (ТГ)</t>
  </si>
  <si>
    <t>Новинка!           Каракан-8 ТПЭ-3</t>
  </si>
  <si>
    <t>Новинка!                      Каракан-10 ТПЭ3</t>
  </si>
  <si>
    <t xml:space="preserve"> Новинка!                    Каракан-12 ТПЭ-3</t>
  </si>
  <si>
    <t>Котлы твердотопливные                            ТГ1</t>
  </si>
  <si>
    <t>Комплектующие                              ТГ2</t>
  </si>
  <si>
    <t>Печи банные, воздухогрейные                    ТГ3</t>
  </si>
  <si>
    <t xml:space="preserve"> Новинка!               Каракан-16 ТПЭ3</t>
  </si>
  <si>
    <t>ПУЛЬТЫ УПРАВЛЕНИЯ ЭЛЕКТРОНАГРЕВАТЕЛЯМИ/УРОВНЕМ ВОДЫ</t>
  </si>
  <si>
    <t>предназначен для автоматического управления работой электрических устройств (например насосов, электроклапанов) в системах контроля уровня воды в резервуарах</t>
  </si>
  <si>
    <t xml:space="preserve"> Новинка!               Каракан-16 ТПЭВ3</t>
  </si>
  <si>
    <t xml:space="preserve">тв. топливо, под электровставку,                          1 атм,  красный терракот </t>
  </si>
  <si>
    <t xml:space="preserve">тв. топливо, под электровставку,                          1 атм, цвет красный терракот </t>
  </si>
  <si>
    <r>
      <t xml:space="preserve">тв. топливо, под электровставку,    под     3 атм, топка 600, 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</si>
  <si>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             под газ. горелку    3 атм,  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</si>
  <si>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>тв. топливо, под электровставку,  варочная плита, 3 атм,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</si>
  <si>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r>
      <t xml:space="preserve">тв. топливо, под электровставку,              3 атм, контур для ГВС,  варочная плита,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</si>
  <si>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>Серия котлов СТЭН mini</t>
  </si>
  <si>
    <t>Печь круглая под казан 8-12л, толщина стали 3 мм, диаметр 370 мм</t>
  </si>
  <si>
    <t xml:space="preserve"> Многофункциональная быстроразборная печь 3-в-1, используется в качестве печи, мангала и печи под казан объёмом   от 4 до 12л, сталь 3 мм, сумка для переноски в комплекте</t>
  </si>
  <si>
    <t>Гидрораспределительная арматура: коллекторы,разделители, насосные и смесительные узлы</t>
  </si>
  <si>
    <t>ТГ7</t>
  </si>
  <si>
    <t>Электро                                          продукция                   ТГ5</t>
  </si>
  <si>
    <t>Описание</t>
  </si>
  <si>
    <t>Гидравлический разделитель ГР - 50</t>
  </si>
  <si>
    <t>Характеристики</t>
  </si>
  <si>
    <t>Максимальная мощность</t>
  </si>
  <si>
    <t>50 кВт</t>
  </si>
  <si>
    <t>Рабочее давление</t>
  </si>
  <si>
    <t>6 бар</t>
  </si>
  <si>
    <t>Масса</t>
  </si>
  <si>
    <t>2,8 кг</t>
  </si>
  <si>
    <t>Патрубки</t>
  </si>
  <si>
    <t>Котёл</t>
  </si>
  <si>
    <t>1"(нр)</t>
  </si>
  <si>
    <t>Потребитель</t>
  </si>
  <si>
    <t>Воздухоотводчик</t>
  </si>
  <si>
    <t>½" (вр)</t>
  </si>
  <si>
    <t>Кран опорожнения</t>
  </si>
  <si>
    <t>70 кВт</t>
  </si>
  <si>
    <t>4,2 кг</t>
  </si>
  <si>
    <r>
      <t>1</t>
    </r>
    <r>
      <rPr>
        <sz val="10"/>
        <color theme="1"/>
        <rFont val="Calibri"/>
        <family val="2"/>
        <charset val="204"/>
      </rPr>
      <t>¼</t>
    </r>
    <r>
      <rPr>
        <sz val="10"/>
        <color theme="1"/>
        <rFont val="Arial"/>
        <family val="2"/>
        <charset val="204"/>
      </rPr>
      <t>"(нр)</t>
    </r>
  </si>
  <si>
    <t>1¼"(нр)</t>
  </si>
  <si>
    <t>110 кВт</t>
  </si>
  <si>
    <t>7 кг</t>
  </si>
  <si>
    <t>2"(нр)</t>
  </si>
  <si>
    <t>Гидравлический разделитель с коллектором ГРК кольцевой</t>
  </si>
  <si>
    <t>Гидравлический разделитель ГР - 70</t>
  </si>
  <si>
    <t>Гидравлический разделитель ГР - 110</t>
  </si>
  <si>
    <t>5,2 кг</t>
  </si>
  <si>
    <t>Количество контуров</t>
  </si>
  <si>
    <t>Межосевое расстояние</t>
  </si>
  <si>
    <t>125 мм</t>
  </si>
  <si>
    <t>Гидравлический разделитель с коллектором ГРК - 3</t>
  </si>
  <si>
    <t>7,6 кг</t>
  </si>
  <si>
    <t>Термоманометр</t>
  </si>
  <si>
    <t>Гидравлический разделитель с коллектором ГРК - 4</t>
  </si>
  <si>
    <t>12,8 кг</t>
  </si>
  <si>
    <t>Гидравлический разделитель с коллектором ГРК - 5</t>
  </si>
  <si>
    <t>10,8 кг</t>
  </si>
  <si>
    <t>Гидравлический разделитель с коллектором ГРК - 7</t>
  </si>
  <si>
    <t>14 кг</t>
  </si>
  <si>
    <t>Гидравлический разделитель с коллектором ГРК - 9</t>
  </si>
  <si>
    <t>Гидравлический разделитель с коллектором ГРК - 11</t>
  </si>
  <si>
    <t>17 кг</t>
  </si>
  <si>
    <t>Коллектор распределительный КР-3</t>
  </si>
  <si>
    <t>3 кг</t>
  </si>
  <si>
    <t>160 мм</t>
  </si>
  <si>
    <t>Ввод</t>
  </si>
  <si>
    <r>
      <t>1</t>
    </r>
    <r>
      <rPr>
        <sz val="10"/>
        <color theme="1"/>
        <rFont val="Arial"/>
        <family val="2"/>
        <charset val="204"/>
      </rPr>
      <t>"(нр)</t>
    </r>
  </si>
  <si>
    <t>Вывод</t>
  </si>
  <si>
    <t>1"(вр)</t>
  </si>
  <si>
    <t>Коллектор распределительный КР-4</t>
  </si>
  <si>
    <t>Коллектор распределительный КР-5</t>
  </si>
  <si>
    <t>Коллектор балансировочный КБ-3</t>
  </si>
  <si>
    <t>4,8 кг</t>
  </si>
  <si>
    <t>Термооманометр</t>
  </si>
  <si>
    <t>Коллектор балансировочный КБ-4</t>
  </si>
  <si>
    <t>10 кг</t>
  </si>
  <si>
    <t>8 кг</t>
  </si>
  <si>
    <t>Коллектор балансировочный КБ-5</t>
  </si>
  <si>
    <t>Коллектор балансировочный КБ-7</t>
  </si>
  <si>
    <t>Коллектор балансировочный КБ-9</t>
  </si>
  <si>
    <t>Коллектор балансировочный КБ-11</t>
  </si>
  <si>
    <t>Гидроармаутра ТГ7</t>
  </si>
  <si>
    <r>
      <t xml:space="preserve">тв. топливо, под электровставку,  3 атм,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</si>
  <si>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>тв. топливо, под электровставку,                           3 атм, топка 600, варочная плита,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</si>
  <si>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r>
      <t xml:space="preserve">тв. топливо, под электровставку,                           3 атм, </t>
    </r>
    <r>
      <rPr>
        <sz val="9"/>
        <rFont val="Calibri"/>
        <family val="2"/>
        <charset val="204"/>
        <scheme val="minor"/>
      </rPr>
      <t>варочная плита</t>
    </r>
    <r>
      <rPr>
        <sz val="9"/>
        <color rgb="FFFF0000"/>
        <rFont val="Calibri"/>
        <family val="2"/>
        <charset val="204"/>
        <scheme val="minor"/>
      </rPr>
      <t>, Гарантия 5 лет</t>
    </r>
  </si>
  <si>
    <t>на котел Каракан 8 ТПЭ3/12 ТПЭ3, СТЭН mini 7/11 переход с круглового вертикального на прямоугольный горизонтальный</t>
  </si>
  <si>
    <t>Переходник дымохода КВ-КВ</t>
  </si>
  <si>
    <t>(рекомендованный диаметр дымохода 150 мм,
диаметр кольца 180 мм.)Переходник с плиты на круглый вертикальный, уставливается вместо кружка на плиту</t>
  </si>
  <si>
    <t>ПОДСТАВКА ПОД КОТЁЛ КАРАКАН 8</t>
  </si>
  <si>
    <r>
      <t xml:space="preserve">тв. топливо, под электровставку,    под     3 атм, топка 600, контур для ГВС,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</si>
  <si>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>Переходник                          КВ-ПГ 1</t>
  </si>
  <si>
    <t>Дымоход котла ПГ 2</t>
  </si>
  <si>
    <t>Дымоход котла КГ 2</t>
  </si>
  <si>
    <t>Дымоход котла КВ 2</t>
  </si>
  <si>
    <t xml:space="preserve">Дымоход котла ПГ 3                 </t>
  </si>
  <si>
    <t xml:space="preserve">Дымоход  котла КГ 3                </t>
  </si>
  <si>
    <t xml:space="preserve">Дымоход  котла КВ 3               </t>
  </si>
  <si>
    <t>Дымоход котла ПГ 1</t>
  </si>
  <si>
    <t>Дымоход котла КГ 1</t>
  </si>
  <si>
    <t>Дымоход котла КВ 1</t>
  </si>
  <si>
    <t>Для котлов Каракан 10 ТПЭ 3/14 ТПЭ3,  со съемным дымоходом, прямоугольный горизонтальный (диаметр 150, межосевое 214)</t>
  </si>
  <si>
    <t>Для котлов Каракан 10 ТПЭ 3/14 ТПЭ3, со съемным дымоходом, круглый горизонтальный (диаметр 150, межосевое 214)</t>
  </si>
  <si>
    <t>Для котлов Каракан 10 ТПЭ 3/14 ТПЭ3, со съемным дымоходом, круглый вертикальный (диаметр 150, межосевое 214)</t>
  </si>
  <si>
    <t xml:space="preserve">Для котлов Каркан 30 ТЭГ, со съемным дымоходом, Прямоугольный горизонтальный (диаметр 180, межосевое 268) </t>
  </si>
  <si>
    <t xml:space="preserve">Для котлов Каркан 30 ТЭГ,  со съемным дымоходом, круглый горизонтальный (диаметр 180, межосевое 268) </t>
  </si>
  <si>
    <t xml:space="preserve">Для котлов Каркан 30 ТЭГ,  со съемным дымоходом,  круглый вертикальный (диаметр 180, межосевое 268) </t>
  </si>
  <si>
    <t>Заглушка для  переходника К1</t>
  </si>
  <si>
    <t>Заглушка для  переходника К2</t>
  </si>
  <si>
    <t>Заглушка для отверстия под горизонтальный дымоход. Для котлов с дымоходом КГ/ПГ Каракан 10/14 ТПЭ 3 (межосевое 214)</t>
  </si>
  <si>
    <t>Заглушка для отверстия под горизонтальный дымоход. Для котлов с дымоходом КГ/ПГ для котлов Каракан 16/20 ТПЭ 3, 20/30 ТЭГ 3 (межосевое 268)</t>
  </si>
  <si>
    <t xml:space="preserve"> Каракан-20 ТЭГВ-3</t>
  </si>
  <si>
    <t>ТЭНБР-3-1¼″TН</t>
  </si>
  <si>
    <t xml:space="preserve">3 кВт,  резьба  1¼″, Р-3 атм.  Нержавеющая сталь, </t>
  </si>
  <si>
    <t xml:space="preserve"> Каракан-30 ТЭГ 3</t>
  </si>
  <si>
    <t xml:space="preserve"> Каракан-30 ТЭГВ 3</t>
  </si>
  <si>
    <r>
      <t xml:space="preserve">тв. топливо, под электровставку,                    под газ. горелку    3 атм,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</si>
  <si>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               под газ. горелку    3 атм, контур для ГВС,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</si>
  <si>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 xml:space="preserve">Для котлов Каракан со съемным дымоходом                                                  Каракан 16 ТПЭ3/16 ТПЭВ3/20 ТПЭ3/20 ТПЭВ3/20 ТЭГ3/20 ТЭГВ/30 ТЭГ3, круглый вертикальный  (диаметр 150, межосевое 268)  </t>
  </si>
  <si>
    <t xml:space="preserve">Для котлов Каракан со съемным дымоходом                                                  Каракан 16 ТПЭ3/16 ТПЭВ3/20 ТПЭ3/20 ТПЭВ3/20 ТЭГ3/20 ТЭГВ/30ТЭГ3, круглый горизонтальный    (диаметр 150, межосевое 268)  </t>
  </si>
  <si>
    <t xml:space="preserve">Для котлов Каракан со съемным дымоходом                                                  Каракан 16 ТПЭ3/16 ТПЭВ3/20 ТПЭ3/20 ТПЭВ3/20 ТЭГ3/20 ТЭГВ/30ТЭГ3, прямоугольный горизонтальный  (диаметр 150, межосевое 268)  </t>
  </si>
  <si>
    <r>
      <rPr>
        <b/>
        <sz val="9"/>
        <rFont val="Calibri"/>
        <family val="2"/>
        <charset val="204"/>
        <scheme val="minor"/>
      </rPr>
      <t>Для управления ТЭНб до 5 кВт(однофазный,2 ТЭНа)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теплоносителя, крепление на стене; комлектуется для Каракан 8/10/11/12 </t>
    </r>
  </si>
  <si>
    <t xml:space="preserve"> ПУУВ-1</t>
  </si>
  <si>
    <t xml:space="preserve">Новинка!              Комфорт - ПУЭ-5 </t>
  </si>
  <si>
    <t xml:space="preserve"> Переносная, разборная печь для приготовления пищи, установленные дверка и зольник, в комплекте разборный дымоход с шибером, объём казана 8-12л, сталь 3 мм. Возможность установки варочной чугунной плиты ( в комплекте нет)</t>
  </si>
  <si>
    <t xml:space="preserve">Серия котлов СТЭН КАРАКАН 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</si>
  <si>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 xml:space="preserve">Твердотопливные котлы </t>
    </r>
    <r>
      <rPr>
        <sz val="9"/>
        <color theme="1" tint="0.14999847407452621"/>
        <rFont val="Century Gothic"/>
        <family val="2"/>
        <charset val="204"/>
      </rPr>
      <t>(СТЭН mini, СТЭН Каракан, СТЭН Кобальт )</t>
    </r>
  </si>
  <si>
    <t>Серия котлов СТЭН КОБАЛЬТ</t>
  </si>
  <si>
    <t>Новинка!                         Кобальт 15</t>
  </si>
  <si>
    <t>Новинка!               Кобальт 25</t>
  </si>
  <si>
    <t>Новинка!                     Кобальт 35</t>
  </si>
  <si>
    <t xml:space="preserve">Котлы стальные универсальные; мощность от 7 до 35 кВт; топливо: уголь, дрова, брикеты; возможность установки газовой горелки, электрического ТЭНа, регулятора тяги, турбоонаддува                                 </t>
  </si>
  <si>
    <r>
      <t xml:space="preserve">Термомеханический, регулирует тягу в котле и изменяет интенсивность горения в зависимости от нужд системы отопления,вертикальная или горизонтальная установка, рег-ка 30 -100 </t>
    </r>
    <r>
      <rPr>
        <sz val="10"/>
        <color theme="1"/>
        <rFont val="Calibri"/>
        <family val="2"/>
        <charset val="204"/>
      </rPr>
      <t>˚С, резьба 3/4", про-во Италия ICMA.</t>
    </r>
  </si>
  <si>
    <t>Бак расширительный 10л ОРБ 10</t>
  </si>
  <si>
    <t>Бак расширительный 20л ОРБ 20</t>
  </si>
  <si>
    <t>Бак расширительный 30л ОРБ 30</t>
  </si>
  <si>
    <t>Бак расширительный 40л ОРБ40</t>
  </si>
  <si>
    <t>`- основное топливо уголь, дрова ( вплоть до 70см)                    - Z образный газоход                                                                             - режим быстрого розжига                                                                    - двухуровненвая подача воздуха                                                      - декоративный кожух с теплоизоляцией                                          - регулируемая загрузочная дверца с конвекционным     охлаждением                                                                                           - предусмотрена установка регулятора тяги, ТЭНБ,  газовой горелки, комплекта турбонаддува                                                   - 3 атм, 5 лет гарантия, 15 лет срок службы</t>
  </si>
  <si>
    <t xml:space="preserve"> CТЭН mini 7                            8 ТПЭ3                           12ТПЭ3                          14ТПЭ3                   20 ТПЭ3                       20 ТЭГ3              Кообальт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</si>
</sst>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56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Arial Black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9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rgb="FFFF3300"/>
      <name val="Arial Cyr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1"/>
      <color theme="1" tint="0.14999847407452621"/>
      <name val="Franklin Gothic Book"/>
      <family val="2"/>
      <charset val="204"/>
    </font>
    <font>
      <sz val="11"/>
      <color theme="1"/>
      <name val="Century Gothic"/>
      <family val="2"/>
      <charset val="204"/>
    </font>
    <font>
      <sz val="10"/>
      <color theme="1"/>
      <name val="Century Gothic"/>
      <family val="2"/>
      <charset val="204"/>
    </font>
    <font>
      <b/>
      <sz val="14"/>
      <color rgb="FFC00000"/>
      <name val="Century Gothic"/>
      <family val="2"/>
      <charset val="204"/>
    </font>
    <font>
      <sz val="9"/>
      <color theme="10"/>
      <name val="Century Gothic"/>
      <family val="2"/>
      <charset val="204"/>
    </font>
    <font>
      <sz val="11"/>
      <color theme="1" tint="0.14999847407452621"/>
      <name val="Century Gothic"/>
      <family val="2"/>
      <charset val="204"/>
    </font>
    <font>
      <sz val="14"/>
      <color theme="1" tint="0.14999847407452621"/>
      <name val="Century Gothic"/>
      <family val="2"/>
      <charset val="204"/>
    </font>
    <font>
      <sz val="9"/>
      <color theme="1" tint="0.14999847407452621"/>
      <name val="Century Gothic"/>
      <family val="2"/>
      <charset val="204"/>
    </font>
    <font>
      <sz val="12"/>
      <color theme="1" tint="0.1499984740745262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u/>
      <sz val="11"/>
      <color theme="1" tint="0.14999847407452621"/>
      <name val="Century Gothic"/>
      <family val="2"/>
      <charset val="204"/>
    </font>
    <font>
      <b/>
      <sz val="11"/>
      <color theme="1" tint="0.14999847407452621"/>
      <name val="Century Gothic"/>
      <family val="2"/>
      <charset val="204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8"/>
      <name val="Calibri"/>
      <family val="2"/>
      <charset val="204"/>
      <scheme val="minor"/>
    </font>
    <font>
      <b/>
      <sz val="12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33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AD78B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gradientFill>
        <stop position="0">
          <color rgb="FFFF0000"/>
        </stop>
        <stop position="1">
          <color theme="0"/>
        </stop>
      </gradientFill>
    </fill>
    <fill>
      <gradientFill>
        <stop position="0">
          <color rgb="FFFF6600"/>
        </stop>
        <stop position="1">
          <color theme="0"/>
        </stop>
      </gradientFill>
    </fill>
    <fill>
      <gradientFill>
        <stop position="0">
          <color rgb="FF00B050"/>
        </stop>
        <stop position="1">
          <color theme="0"/>
        </stop>
      </gradientFill>
    </fill>
    <fill>
      <gradientFill>
        <stop position="0">
          <color rgb="FF00B0F0"/>
        </stop>
        <stop position="1">
          <color theme="0"/>
        </stop>
      </gradientFill>
    </fill>
    <fill>
      <gradientFill degree="180">
        <stop position="0">
          <color theme="0"/>
        </stop>
        <stop position="1">
          <color theme="4"/>
        </stop>
      </gradientFill>
    </fill>
    <fill>
      <gradientFill>
        <stop position="0">
          <color theme="5"/>
        </stop>
        <stop position="1">
          <color theme="0"/>
        </stop>
      </gradientFill>
    </fill>
    <fill>
      <gradientFill>
        <stop position="0">
          <color rgb="FFAD78BE"/>
        </stop>
        <stop position="1">
          <color theme="0"/>
        </stop>
      </gradient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0" fontId="11" fillId="0" borderId="0" applyNumberFormat="0" applyFill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164" fontId="31" fillId="0" borderId="0" applyFont="0" applyFill="0" applyBorder="0" applyAlignment="0" applyProtection="0"/>
  </cellStyleXfs>
  <cellXfs count="525">
    <xf numFmtId="0" fontId="0" fillId="0" borderId="0" xfId="0"/>
    <xf numFmtId="0" fontId="0" fillId="0" borderId="0" xfId="0" applyAlignment="1"/>
    <xf numFmtId="0" fontId="0" fillId="0" borderId="0" xfId="0" applyBorder="1"/>
    <xf numFmtId="0" fontId="1" fillId="0" borderId="0" xfId="0" applyFont="1" applyAlignment="1"/>
    <xf numFmtId="0" fontId="2" fillId="0" borderId="0" xfId="0" applyFont="1" applyAlignment="1"/>
    <xf numFmtId="0" fontId="4" fillId="0" borderId="0" xfId="0" applyFont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0" xfId="0" applyFont="1" applyBorder="1" applyAlignment="1">
      <alignment vertical="top" wrapText="1"/>
    </xf>
    <xf numFmtId="0" fontId="3" fillId="0" borderId="0" xfId="0" applyFont="1" applyAlignment="1"/>
    <xf numFmtId="0" fontId="0" fillId="0" borderId="0" xfId="0" applyAlignment="1">
      <alignment vertical="center"/>
    </xf>
    <xf numFmtId="0" fontId="11" fillId="0" borderId="0" xfId="2" applyBorder="1" applyAlignment="1">
      <alignment horizontal="right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0" fontId="26" fillId="0" borderId="0" xfId="2" applyFont="1" applyBorder="1"/>
    <xf numFmtId="0" fontId="26" fillId="0" borderId="0" xfId="2" applyFont="1"/>
    <xf numFmtId="0" fontId="27" fillId="0" borderId="0" xfId="2" applyFont="1"/>
    <xf numFmtId="0" fontId="37" fillId="0" borderId="0" xfId="0" applyFont="1"/>
    <xf numFmtId="0" fontId="38" fillId="0" borderId="0" xfId="0" applyFont="1"/>
    <xf numFmtId="0" fontId="12" fillId="10" borderId="51" xfId="0" applyFont="1" applyFill="1" applyBorder="1" applyAlignment="1">
      <alignment horizontal="center" vertical="center" wrapText="1"/>
    </xf>
    <xf numFmtId="0" fontId="21" fillId="0" borderId="52" xfId="0" applyNumberFormat="1" applyFont="1" applyBorder="1" applyAlignment="1">
      <alignment horizontal="center" vertical="center"/>
    </xf>
    <xf numFmtId="14" fontId="21" fillId="0" borderId="52" xfId="0" applyNumberFormat="1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5" fillId="0" borderId="0" xfId="0" applyFont="1"/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/>
    <xf numFmtId="0" fontId="8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vertical="center"/>
    </xf>
    <xf numFmtId="0" fontId="0" fillId="0" borderId="1" xfId="0" applyBorder="1"/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0" fontId="12" fillId="10" borderId="25" xfId="0" applyFont="1" applyFill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5" fillId="0" borderId="1" xfId="0" applyFont="1" applyBorder="1"/>
    <xf numFmtId="0" fontId="47" fillId="0" borderId="0" xfId="2" applyFont="1" applyAlignment="1" applyProtection="1">
      <protection hidden="1"/>
    </xf>
    <xf numFmtId="14" fontId="46" fillId="0" borderId="0" xfId="0" applyNumberFormat="1" applyFont="1" applyAlignment="1" applyProtection="1">
      <alignment horizontal="left"/>
      <protection hidden="1"/>
    </xf>
    <xf numFmtId="0" fontId="45" fillId="0" borderId="0" xfId="0" applyFont="1" applyFill="1" applyBorder="1" applyAlignment="1" applyProtection="1">
      <alignment horizontal="right"/>
      <protection hidden="1"/>
    </xf>
    <xf numFmtId="0" fontId="46" fillId="0" borderId="0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7" fillId="2" borderId="34" xfId="0" applyFont="1" applyFill="1" applyBorder="1" applyAlignment="1" applyProtection="1">
      <alignment horizontal="center" vertical="center" wrapText="1"/>
      <protection hidden="1"/>
    </xf>
    <xf numFmtId="0" fontId="9" fillId="0" borderId="2" xfId="0" applyFont="1" applyFill="1" applyBorder="1" applyAlignment="1" applyProtection="1">
      <alignment horizontal="left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3" fontId="8" fillId="0" borderId="1" xfId="1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47" fillId="0" borderId="0" xfId="2" applyFont="1" applyFill="1" applyAlignment="1" applyProtection="1">
      <alignment horizontal="right"/>
      <protection hidden="1"/>
    </xf>
    <xf numFmtId="0" fontId="46" fillId="0" borderId="0" xfId="0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22" fillId="0" borderId="21" xfId="0" applyNumberFormat="1" applyFont="1" applyFill="1" applyBorder="1" applyAlignment="1" applyProtection="1">
      <alignment vertical="center" wrapText="1"/>
      <protection hidden="1"/>
    </xf>
    <xf numFmtId="3" fontId="8" fillId="0" borderId="22" xfId="1" applyNumberFormat="1" applyFont="1" applyFill="1" applyBorder="1" applyAlignment="1" applyProtection="1">
      <alignment horizontal="center" vertical="center"/>
      <protection hidden="1"/>
    </xf>
    <xf numFmtId="3" fontId="8" fillId="0" borderId="37" xfId="1" applyNumberFormat="1" applyFont="1" applyFill="1" applyBorder="1" applyAlignment="1" applyProtection="1">
      <alignment horizontal="center" vertical="center"/>
      <protection hidden="1"/>
    </xf>
    <xf numFmtId="0" fontId="22" fillId="0" borderId="3" xfId="0" applyNumberFormat="1" applyFont="1" applyFill="1" applyBorder="1" applyAlignment="1" applyProtection="1">
      <alignment vertical="center" wrapText="1"/>
      <protection hidden="1"/>
    </xf>
    <xf numFmtId="3" fontId="8" fillId="0" borderId="5" xfId="1" applyNumberFormat="1" applyFont="1" applyFill="1" applyBorder="1" applyAlignment="1" applyProtection="1">
      <alignment horizontal="center" vertical="center"/>
      <protection hidden="1"/>
    </xf>
    <xf numFmtId="0" fontId="13" fillId="0" borderId="29" xfId="0" applyFont="1" applyFill="1" applyBorder="1" applyAlignment="1" applyProtection="1">
      <alignment vertical="center" wrapText="1"/>
      <protection hidden="1"/>
    </xf>
    <xf numFmtId="1" fontId="5" fillId="0" borderId="31" xfId="0" applyNumberFormat="1" applyFont="1" applyBorder="1" applyAlignment="1" applyProtection="1">
      <alignment horizontal="center" vertical="center"/>
      <protection hidden="1"/>
    </xf>
    <xf numFmtId="0" fontId="9" fillId="0" borderId="21" xfId="0" applyFont="1" applyFill="1" applyBorder="1" applyAlignment="1" applyProtection="1">
      <alignment vertical="center" wrapText="1"/>
      <protection hidden="1"/>
    </xf>
    <xf numFmtId="1" fontId="5" fillId="0" borderId="2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 wrapText="1"/>
      <protection hidden="1"/>
    </xf>
    <xf numFmtId="0" fontId="9" fillId="0" borderId="3" xfId="0" applyFont="1" applyFill="1" applyBorder="1" applyAlignment="1" applyProtection="1">
      <alignment vertical="center" wrapText="1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12" fillId="0" borderId="21" xfId="0" applyFont="1" applyBorder="1" applyAlignment="1" applyProtection="1">
      <alignment horizontal="left" vertical="center"/>
      <protection hidden="1"/>
    </xf>
    <xf numFmtId="0" fontId="12" fillId="0" borderId="2" xfId="0" applyFont="1" applyBorder="1" applyAlignment="1" applyProtection="1">
      <alignment horizontal="left" vertical="center"/>
      <protection hidden="1"/>
    </xf>
    <xf numFmtId="0" fontId="12" fillId="0" borderId="8" xfId="0" applyFont="1" applyBorder="1" applyAlignment="1" applyProtection="1">
      <alignment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0" fontId="12" fillId="0" borderId="2" xfId="0" applyFont="1" applyBorder="1" applyProtection="1">
      <protection hidden="1"/>
    </xf>
    <xf numFmtId="3" fontId="8" fillId="0" borderId="36" xfId="1" applyNumberFormat="1" applyFont="1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wrapText="1"/>
      <protection hidden="1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3" fontId="8" fillId="0" borderId="35" xfId="1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Fill="1" applyBorder="1" applyAlignment="1" applyProtection="1">
      <alignment vertical="center" wrapText="1"/>
      <protection hidden="1"/>
    </xf>
    <xf numFmtId="1" fontId="5" fillId="0" borderId="31" xfId="0" applyNumberFormat="1" applyFont="1" applyFill="1" applyBorder="1" applyAlignment="1" applyProtection="1">
      <alignment horizontal="center" vertical="center"/>
      <protection hidden="1"/>
    </xf>
    <xf numFmtId="3" fontId="8" fillId="0" borderId="37" xfId="0" applyNumberFormat="1" applyFont="1" applyFill="1" applyBorder="1" applyAlignment="1" applyProtection="1">
      <alignment horizontal="center" vertical="center"/>
      <protection hidden="1"/>
    </xf>
    <xf numFmtId="3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 applyProtection="1">
      <alignment vertical="center" wrapText="1"/>
      <protection hidden="1"/>
    </xf>
    <xf numFmtId="3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3" xfId="0" applyFont="1" applyFill="1" applyBorder="1" applyAlignment="1" applyProtection="1">
      <alignment vertical="center" wrapText="1"/>
      <protection hidden="1"/>
    </xf>
    <xf numFmtId="3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21" xfId="0" applyFont="1" applyBorder="1" applyAlignment="1" applyProtection="1">
      <alignment vertical="center" wrapText="1"/>
      <protection hidden="1"/>
    </xf>
    <xf numFmtId="0" fontId="9" fillId="0" borderId="2" xfId="0" applyFont="1" applyBorder="1" applyAlignment="1" applyProtection="1">
      <alignment vertical="center" wrapText="1"/>
      <protection hidden="1"/>
    </xf>
    <xf numFmtId="0" fontId="9" fillId="0" borderId="8" xfId="0" applyFont="1" applyBorder="1" applyAlignment="1" applyProtection="1">
      <alignment vertical="center" wrapText="1"/>
      <protection hidden="1"/>
    </xf>
    <xf numFmtId="3" fontId="8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vertical="center" wrapText="1"/>
      <protection hidden="1"/>
    </xf>
    <xf numFmtId="0" fontId="9" fillId="0" borderId="4" xfId="0" applyFont="1" applyBorder="1" applyAlignment="1" applyProtection="1">
      <alignment vertical="center" wrapText="1"/>
      <protection hidden="1"/>
    </xf>
    <xf numFmtId="3" fontId="8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48" fillId="0" borderId="0" xfId="2" applyFont="1" applyFill="1" applyAlignment="1" applyProtection="1">
      <alignment horizontal="right"/>
      <protection hidden="1"/>
    </xf>
    <xf numFmtId="0" fontId="46" fillId="0" borderId="0" xfId="0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vertical="top" wrapText="1"/>
      <protection hidden="1"/>
    </xf>
    <xf numFmtId="0" fontId="21" fillId="6" borderId="53" xfId="0" applyFont="1" applyFill="1" applyBorder="1" applyAlignment="1" applyProtection="1">
      <alignment horizontal="center" vertical="center" wrapText="1"/>
      <protection hidden="1"/>
    </xf>
    <xf numFmtId="0" fontId="7" fillId="6" borderId="34" xfId="0" applyFont="1" applyFill="1" applyBorder="1" applyAlignment="1" applyProtection="1">
      <alignment horizontal="center" vertical="center" wrapText="1"/>
      <protection hidden="1"/>
    </xf>
    <xf numFmtId="0" fontId="9" fillId="0" borderId="21" xfId="0" applyFont="1" applyFill="1" applyBorder="1" applyAlignment="1" applyProtection="1">
      <alignment vertical="center"/>
      <protection hidden="1"/>
    </xf>
    <xf numFmtId="3" fontId="8" fillId="0" borderId="22" xfId="0" applyNumberFormat="1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/>
      <protection hidden="1"/>
    </xf>
    <xf numFmtId="3" fontId="8" fillId="0" borderId="1" xfId="0" applyNumberFormat="1" applyFont="1" applyFill="1" applyBorder="1" applyAlignment="1" applyProtection="1">
      <alignment horizontal="center" vertical="center"/>
      <protection hidden="1"/>
    </xf>
    <xf numFmtId="3" fontId="8" fillId="0" borderId="36" xfId="0" applyNumberFormat="1" applyFont="1" applyFill="1" applyBorder="1" applyAlignment="1" applyProtection="1">
      <alignment horizontal="center" vertical="center"/>
      <protection hidden="1"/>
    </xf>
    <xf numFmtId="0" fontId="9" fillId="0" borderId="3" xfId="0" applyFont="1" applyFill="1" applyBorder="1" applyAlignment="1" applyProtection="1">
      <alignment vertical="center"/>
      <protection hidden="1"/>
    </xf>
    <xf numFmtId="3" fontId="8" fillId="0" borderId="44" xfId="0" applyNumberFormat="1" applyFont="1" applyFill="1" applyBorder="1" applyAlignment="1" applyProtection="1">
      <alignment horizontal="center" vertical="center"/>
      <protection hidden="1"/>
    </xf>
    <xf numFmtId="3" fontId="8" fillId="0" borderId="6" xfId="0" applyNumberFormat="1" applyFont="1" applyFill="1" applyBorder="1" applyAlignment="1" applyProtection="1">
      <alignment horizontal="center" vertical="center"/>
      <protection hidden="1"/>
    </xf>
    <xf numFmtId="3" fontId="8" fillId="0" borderId="35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Fill="1" applyAlignment="1" applyProtection="1">
      <alignment horizontal="right" vertical="center"/>
      <protection hidden="1"/>
    </xf>
    <xf numFmtId="0" fontId="21" fillId="11" borderId="53" xfId="0" applyFont="1" applyFill="1" applyBorder="1" applyAlignment="1" applyProtection="1">
      <alignment horizontal="center" vertical="center"/>
      <protection hidden="1"/>
    </xf>
    <xf numFmtId="0" fontId="7" fillId="11" borderId="34" xfId="0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22" xfId="0" applyNumberFormat="1" applyFont="1" applyFill="1" applyBorder="1" applyAlignment="1" applyProtection="1">
      <alignment horizontal="center"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Alignment="1" applyProtection="1">
      <alignment horizontal="center" vertical="center"/>
      <protection hidden="1"/>
    </xf>
    <xf numFmtId="0" fontId="7" fillId="3" borderId="34" xfId="0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5" xfId="0" applyNumberFormat="1" applyFont="1" applyFill="1" applyBorder="1" applyAlignment="1" applyProtection="1">
      <alignment horizontal="center" vertical="center"/>
      <protection hidden="1"/>
    </xf>
    <xf numFmtId="1" fontId="8" fillId="0" borderId="1" xfId="1" applyNumberFormat="1" applyFont="1" applyFill="1" applyBorder="1" applyAlignment="1" applyProtection="1">
      <alignment horizontal="center" vertical="center"/>
      <protection hidden="1"/>
    </xf>
    <xf numFmtId="1" fontId="5" fillId="0" borderId="22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5" xfId="0" applyNumberFormat="1" applyFont="1" applyFill="1" applyBorder="1" applyAlignment="1" applyProtection="1">
      <alignment horizontal="center" vertical="center"/>
      <protection hidden="1"/>
    </xf>
    <xf numFmtId="0" fontId="9" fillId="0" borderId="4" xfId="0" applyFont="1" applyFill="1" applyBorder="1" applyAlignment="1" applyProtection="1">
      <alignment vertical="center"/>
      <protection hidden="1"/>
    </xf>
    <xf numFmtId="49" fontId="8" fillId="0" borderId="6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6" xfId="0" applyNumberFormat="1" applyFont="1" applyFill="1" applyBorder="1" applyAlignment="1" applyProtection="1">
      <alignment horizontal="center" vertical="center"/>
      <protection hidden="1"/>
    </xf>
    <xf numFmtId="0" fontId="11" fillId="0" borderId="0" xfId="2" applyBorder="1" applyAlignment="1" applyProtection="1">
      <protection hidden="1"/>
    </xf>
    <xf numFmtId="0" fontId="35" fillId="0" borderId="21" xfId="0" applyFont="1" applyFill="1" applyBorder="1" applyAlignment="1" applyProtection="1">
      <alignment vertical="center" wrapText="1"/>
      <protection hidden="1"/>
    </xf>
    <xf numFmtId="1" fontId="8" fillId="0" borderId="22" xfId="1" applyNumberFormat="1" applyFont="1" applyFill="1" applyBorder="1" applyAlignment="1" applyProtection="1">
      <alignment horizontal="center" vertical="center"/>
      <protection hidden="1"/>
    </xf>
    <xf numFmtId="0" fontId="35" fillId="0" borderId="2" xfId="0" applyFont="1" applyFill="1" applyBorder="1" applyAlignment="1" applyProtection="1">
      <alignment vertical="center" wrapText="1"/>
      <protection hidden="1"/>
    </xf>
    <xf numFmtId="0" fontId="13" fillId="0" borderId="21" xfId="0" applyFont="1" applyFill="1" applyBorder="1" applyAlignment="1" applyProtection="1">
      <alignment vertical="center" wrapText="1"/>
      <protection hidden="1"/>
    </xf>
    <xf numFmtId="0" fontId="14" fillId="0" borderId="22" xfId="0" applyFont="1" applyFill="1" applyBorder="1" applyAlignment="1" applyProtection="1">
      <alignment horizontal="center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/>
      <protection hidden="1"/>
    </xf>
    <xf numFmtId="0" fontId="9" fillId="0" borderId="4" xfId="0" applyFont="1" applyFill="1" applyBorder="1" applyAlignment="1" applyProtection="1">
      <alignment vertical="center" wrapText="1"/>
      <protection hidden="1"/>
    </xf>
    <xf numFmtId="0" fontId="14" fillId="0" borderId="6" xfId="0" applyFont="1" applyFill="1" applyBorder="1" applyAlignment="1" applyProtection="1">
      <alignment horizontal="center" vertical="center" wrapText="1"/>
      <protection hidden="1"/>
    </xf>
    <xf numFmtId="1" fontId="8" fillId="0" borderId="6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22" fillId="0" borderId="2" xfId="0" applyFont="1" applyFill="1" applyBorder="1" applyAlignment="1" applyProtection="1">
      <alignment vertical="center" wrapText="1"/>
      <protection hidden="1"/>
    </xf>
    <xf numFmtId="0" fontId="24" fillId="0" borderId="2" xfId="0" applyFont="1" applyFill="1" applyBorder="1" applyAlignment="1" applyProtection="1">
      <alignment vertical="center" wrapText="1"/>
      <protection hidden="1"/>
    </xf>
    <xf numFmtId="0" fontId="30" fillId="7" borderId="53" xfId="0" applyFont="1" applyFill="1" applyBorder="1" applyAlignment="1" applyProtection="1">
      <alignment horizontal="center" vertical="center"/>
      <protection hidden="1"/>
    </xf>
    <xf numFmtId="0" fontId="12" fillId="0" borderId="8" xfId="0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25" fillId="0" borderId="54" xfId="0" applyFont="1" applyFill="1" applyBorder="1" applyAlignment="1" applyProtection="1">
      <alignment vertical="center" wrapText="1"/>
      <protection hidden="1"/>
    </xf>
    <xf numFmtId="1" fontId="5" fillId="0" borderId="33" xfId="0" applyNumberFormat="1" applyFont="1" applyFill="1" applyBorder="1" applyAlignment="1" applyProtection="1">
      <alignment horizontal="center" vertical="center"/>
      <protection hidden="1"/>
    </xf>
    <xf numFmtId="3" fontId="8" fillId="0" borderId="55" xfId="1" applyNumberFormat="1" applyFont="1" applyFill="1" applyBorder="1" applyAlignment="1" applyProtection="1">
      <alignment horizontal="center" vertical="center"/>
      <protection hidden="1"/>
    </xf>
    <xf numFmtId="0" fontId="25" fillId="0" borderId="2" xfId="0" applyFont="1" applyFill="1" applyBorder="1" applyAlignment="1" applyProtection="1">
      <alignment vertical="center" wrapText="1"/>
      <protection hidden="1"/>
    </xf>
    <xf numFmtId="3" fontId="8" fillId="0" borderId="5" xfId="0" applyNumberFormat="1" applyFont="1" applyFill="1" applyBorder="1" applyAlignment="1" applyProtection="1">
      <alignment horizontal="center" vertical="center"/>
      <protection hidden="1"/>
    </xf>
    <xf numFmtId="0" fontId="9" fillId="0" borderId="8" xfId="0" applyFont="1" applyFill="1" applyBorder="1" applyAlignment="1" applyProtection="1">
      <alignment vertical="center" wrapText="1"/>
      <protection hidden="1"/>
    </xf>
    <xf numFmtId="1" fontId="8" fillId="0" borderId="9" xfId="0" applyNumberFormat="1" applyFont="1" applyFill="1" applyBorder="1" applyAlignment="1" applyProtection="1">
      <alignment horizontal="center" vertical="center"/>
      <protection hidden="1"/>
    </xf>
    <xf numFmtId="3" fontId="8" fillId="0" borderId="34" xfId="0" applyNumberFormat="1" applyFont="1" applyFill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 applyProtection="1">
      <alignment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48" xfId="0" applyFont="1" applyFill="1" applyBorder="1" applyAlignment="1" applyProtection="1">
      <alignment vertical="center" wrapText="1"/>
      <protection hidden="1"/>
    </xf>
    <xf numFmtId="1" fontId="5" fillId="0" borderId="32" xfId="0" applyNumberFormat="1" applyFont="1" applyFill="1" applyBorder="1" applyAlignment="1" applyProtection="1">
      <alignment horizontal="center" vertical="center"/>
      <protection hidden="1"/>
    </xf>
    <xf numFmtId="3" fontId="8" fillId="0" borderId="47" xfId="1" applyNumberFormat="1" applyFont="1" applyFill="1" applyBorder="1" applyAlignment="1" applyProtection="1">
      <alignment horizontal="center" vertical="center"/>
      <protection hidden="1"/>
    </xf>
    <xf numFmtId="0" fontId="14" fillId="0" borderId="5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6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56" xfId="0" applyFont="1" applyFill="1" applyBorder="1" applyAlignment="1" applyProtection="1">
      <alignment horizontal="center" vertical="center" wrapText="1"/>
      <protection hidden="1"/>
    </xf>
    <xf numFmtId="0" fontId="7" fillId="5" borderId="10" xfId="0" applyFont="1" applyFill="1" applyBorder="1" applyAlignment="1" applyProtection="1">
      <alignment horizontal="center" vertical="center" wrapText="1"/>
      <protection hidden="1"/>
    </xf>
    <xf numFmtId="0" fontId="7" fillId="7" borderId="34" xfId="0" applyFont="1" applyFill="1" applyBorder="1" applyAlignment="1" applyProtection="1">
      <alignment horizontal="center" vertical="center" wrapText="1"/>
      <protection hidden="1"/>
    </xf>
    <xf numFmtId="0" fontId="9" fillId="0" borderId="4" xfId="0" applyFont="1" applyFill="1" applyBorder="1" applyAlignment="1" applyProtection="1">
      <alignment horizontal="left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3" fontId="8" fillId="0" borderId="9" xfId="1" applyNumberFormat="1" applyFont="1" applyFill="1" applyBorder="1" applyAlignment="1" applyProtection="1">
      <alignment horizontal="center" vertical="center"/>
      <protection hidden="1"/>
    </xf>
    <xf numFmtId="3" fontId="8" fillId="0" borderId="6" xfId="1" applyNumberFormat="1" applyFont="1" applyFill="1" applyBorder="1" applyAlignment="1" applyProtection="1">
      <alignment horizontal="center" vertical="center"/>
      <protection hidden="1"/>
    </xf>
    <xf numFmtId="3" fontId="8" fillId="0" borderId="52" xfId="1" applyNumberFormat="1" applyFont="1" applyFill="1" applyBorder="1" applyAlignment="1" applyProtection="1">
      <alignment horizontal="center" vertical="center"/>
      <protection hidden="1"/>
    </xf>
    <xf numFmtId="3" fontId="8" fillId="0" borderId="32" xfId="1" applyNumberFormat="1" applyFont="1" applyFill="1" applyBorder="1" applyAlignment="1" applyProtection="1">
      <alignment horizontal="center" vertical="center"/>
      <protection hidden="1"/>
    </xf>
    <xf numFmtId="3" fontId="8" fillId="0" borderId="52" xfId="0" applyNumberFormat="1" applyFont="1" applyFill="1" applyBorder="1" applyAlignment="1" applyProtection="1">
      <alignment horizontal="center" vertical="center"/>
      <protection hidden="1"/>
    </xf>
    <xf numFmtId="3" fontId="8" fillId="0" borderId="47" xfId="0" applyNumberFormat="1" applyFont="1" applyFill="1" applyBorder="1" applyAlignment="1" applyProtection="1">
      <alignment horizontal="center" vertical="center"/>
      <protection hidden="1"/>
    </xf>
    <xf numFmtId="0" fontId="21" fillId="2" borderId="35" xfId="2" applyFont="1" applyFill="1" applyBorder="1" applyAlignment="1" applyProtection="1">
      <alignment horizontal="center" vertical="center" wrapText="1"/>
      <protection hidden="1"/>
    </xf>
    <xf numFmtId="0" fontId="21" fillId="5" borderId="35" xfId="2" applyFont="1" applyFill="1" applyBorder="1" applyAlignment="1" applyProtection="1">
      <alignment horizontal="center" vertical="center" wrapText="1"/>
      <protection hidden="1"/>
    </xf>
    <xf numFmtId="0" fontId="21" fillId="6" borderId="35" xfId="2" applyFont="1" applyFill="1" applyBorder="1" applyAlignment="1" applyProtection="1">
      <alignment horizontal="center" vertical="center" wrapText="1"/>
      <protection hidden="1"/>
    </xf>
    <xf numFmtId="0" fontId="12" fillId="11" borderId="35" xfId="2" applyFont="1" applyFill="1" applyBorder="1" applyAlignment="1" applyProtection="1">
      <alignment horizontal="center" vertical="center" wrapText="1"/>
      <protection hidden="1"/>
    </xf>
    <xf numFmtId="0" fontId="12" fillId="3" borderId="35" xfId="2" applyFont="1" applyFill="1" applyBorder="1" applyAlignment="1" applyProtection="1">
      <alignment horizontal="center" vertical="center" wrapText="1"/>
      <protection hidden="1"/>
    </xf>
    <xf numFmtId="0" fontId="12" fillId="7" borderId="35" xfId="2" applyFont="1" applyFill="1" applyBorder="1" applyAlignment="1" applyProtection="1">
      <alignment horizontal="center" vertical="center" wrapText="1"/>
      <protection hidden="1"/>
    </xf>
    <xf numFmtId="0" fontId="11" fillId="0" borderId="0" xfId="2" applyAlignment="1">
      <alignment horizontal="left"/>
    </xf>
    <xf numFmtId="0" fontId="52" fillId="10" borderId="1" xfId="0" applyFont="1" applyFill="1" applyBorder="1" applyAlignment="1">
      <alignment horizontal="center" vertical="center" wrapText="1"/>
    </xf>
    <xf numFmtId="0" fontId="52" fillId="8" borderId="1" xfId="2" applyFont="1" applyFill="1" applyBorder="1" applyAlignment="1">
      <alignment horizontal="center" vertical="center" wrapText="1"/>
    </xf>
    <xf numFmtId="0" fontId="52" fillId="5" borderId="1" xfId="2" applyFont="1" applyFill="1" applyBorder="1" applyAlignment="1">
      <alignment horizontal="center" vertical="center" wrapText="1"/>
    </xf>
    <xf numFmtId="0" fontId="52" fillId="9" borderId="1" xfId="2" applyFont="1" applyFill="1" applyBorder="1" applyAlignment="1">
      <alignment horizontal="center" vertical="center" wrapText="1"/>
    </xf>
    <xf numFmtId="0" fontId="52" fillId="11" borderId="1" xfId="2" applyFont="1" applyFill="1" applyBorder="1" applyAlignment="1">
      <alignment horizontal="center" vertical="center" wrapText="1"/>
    </xf>
    <xf numFmtId="0" fontId="52" fillId="3" borderId="1" xfId="2" applyFont="1" applyFill="1" applyBorder="1" applyAlignment="1">
      <alignment horizontal="center" vertical="center" wrapText="1"/>
    </xf>
    <xf numFmtId="0" fontId="52" fillId="7" borderId="1" xfId="2" applyFont="1" applyFill="1" applyBorder="1" applyAlignment="1">
      <alignment horizontal="center" vertical="center" wrapText="1"/>
    </xf>
    <xf numFmtId="0" fontId="52" fillId="19" borderId="1" xfId="2" applyFont="1" applyFill="1" applyBorder="1" applyAlignment="1">
      <alignment horizontal="center" vertical="center" wrapText="1"/>
    </xf>
    <xf numFmtId="0" fontId="51" fillId="19" borderId="34" xfId="0" applyFont="1" applyFill="1" applyBorder="1" applyAlignment="1" applyProtection="1">
      <alignment horizontal="center" vertical="center" wrapText="1"/>
      <protection hidden="1"/>
    </xf>
    <xf numFmtId="0" fontId="9" fillId="19" borderId="35" xfId="2" applyFont="1" applyFill="1" applyBorder="1" applyAlignment="1" applyProtection="1">
      <alignment horizontal="center" vertical="center" wrapText="1"/>
      <protection hidden="1"/>
    </xf>
    <xf numFmtId="0" fontId="53" fillId="19" borderId="53" xfId="0" applyFont="1" applyFill="1" applyBorder="1" applyAlignment="1" applyProtection="1">
      <alignment horizontal="center" vertical="center"/>
      <protection hidden="1"/>
    </xf>
    <xf numFmtId="0" fontId="55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0" fontId="55" fillId="0" borderId="5" xfId="0" applyFont="1" applyBorder="1" applyAlignment="1">
      <alignment horizontal="center" vertical="center"/>
    </xf>
    <xf numFmtId="0" fontId="12" fillId="10" borderId="51" xfId="0" applyFont="1" applyFill="1" applyBorder="1" applyAlignment="1">
      <alignment vertical="center" wrapText="1"/>
    </xf>
    <xf numFmtId="3" fontId="8" fillId="0" borderId="31" xfId="1" applyNumberFormat="1" applyFont="1" applyFill="1" applyBorder="1" applyAlignment="1" applyProtection="1">
      <alignment horizontal="center" vertical="center"/>
      <protection hidden="1"/>
    </xf>
    <xf numFmtId="0" fontId="14" fillId="0" borderId="31" xfId="0" applyFont="1" applyFill="1" applyBorder="1" applyAlignment="1" applyProtection="1">
      <alignment horizontal="center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8" xfId="0" applyFont="1" applyFill="1" applyBorder="1" applyAlignment="1" applyProtection="1">
      <alignment horizontal="left" vertical="center" wrapText="1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3" fontId="8" fillId="0" borderId="34" xfId="1" applyNumberFormat="1" applyFont="1" applyFill="1" applyBorder="1" applyAlignment="1" applyProtection="1">
      <alignment horizontal="center" vertical="center"/>
      <protection hidden="1"/>
    </xf>
    <xf numFmtId="0" fontId="9" fillId="0" borderId="21" xfId="0" applyFont="1" applyFill="1" applyBorder="1" applyAlignment="1" applyProtection="1">
      <alignment horizontal="left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horizontal="left" vertical="center" wrapText="1"/>
      <protection hidden="1"/>
    </xf>
    <xf numFmtId="0" fontId="35" fillId="0" borderId="2" xfId="0" applyFont="1" applyFill="1" applyBorder="1" applyAlignment="1" applyProtection="1">
      <alignment horizontal="left" vertical="center" wrapText="1"/>
      <protection hidden="1"/>
    </xf>
    <xf numFmtId="0" fontId="9" fillId="20" borderId="4" xfId="0" applyFont="1" applyFill="1" applyBorder="1" applyAlignment="1" applyProtection="1">
      <alignment horizontal="left" vertical="center" wrapText="1"/>
      <protection hidden="1"/>
    </xf>
    <xf numFmtId="0" fontId="8" fillId="20" borderId="6" xfId="0" applyFont="1" applyFill="1" applyBorder="1" applyAlignment="1" applyProtection="1">
      <alignment horizontal="center" vertical="center"/>
      <protection hidden="1"/>
    </xf>
    <xf numFmtId="1" fontId="5" fillId="20" borderId="6" xfId="0" applyNumberFormat="1" applyFont="1" applyFill="1" applyBorder="1" applyAlignment="1" applyProtection="1">
      <alignment horizontal="center" vertical="center"/>
      <protection hidden="1"/>
    </xf>
    <xf numFmtId="3" fontId="8" fillId="20" borderId="35" xfId="1" applyNumberFormat="1" applyFont="1" applyFill="1" applyBorder="1" applyAlignment="1" applyProtection="1">
      <alignment horizontal="center" vertical="center"/>
      <protection hidden="1"/>
    </xf>
    <xf numFmtId="0" fontId="8" fillId="20" borderId="1" xfId="0" applyFont="1" applyFill="1" applyBorder="1" applyAlignment="1" applyProtection="1">
      <alignment horizontal="center" vertical="center"/>
      <protection hidden="1"/>
    </xf>
    <xf numFmtId="1" fontId="5" fillId="20" borderId="1" xfId="0" applyNumberFormat="1" applyFont="1" applyFill="1" applyBorder="1" applyAlignment="1" applyProtection="1">
      <alignment horizontal="center" vertical="center"/>
      <protection hidden="1"/>
    </xf>
    <xf numFmtId="0" fontId="8" fillId="20" borderId="22" xfId="0" applyFont="1" applyFill="1" applyBorder="1" applyAlignment="1" applyProtection="1">
      <alignment horizontal="center" vertical="center"/>
      <protection hidden="1"/>
    </xf>
    <xf numFmtId="1" fontId="5" fillId="20" borderId="22" xfId="0" applyNumberFormat="1" applyFont="1" applyFill="1" applyBorder="1" applyAlignment="1" applyProtection="1">
      <alignment horizontal="center" vertical="center"/>
      <protection hidden="1"/>
    </xf>
    <xf numFmtId="0" fontId="9" fillId="20" borderId="21" xfId="0" applyFont="1" applyFill="1" applyBorder="1" applyAlignment="1" applyProtection="1">
      <alignment horizontal="left" vertical="center" wrapText="1"/>
      <protection hidden="1"/>
    </xf>
    <xf numFmtId="3" fontId="8" fillId="20" borderId="37" xfId="1" applyNumberFormat="1" applyFont="1" applyFill="1" applyBorder="1" applyAlignment="1" applyProtection="1">
      <alignment horizontal="center" vertical="center"/>
      <protection hidden="1"/>
    </xf>
    <xf numFmtId="0" fontId="9" fillId="20" borderId="2" xfId="0" applyFont="1" applyFill="1" applyBorder="1" applyAlignment="1" applyProtection="1">
      <alignment horizontal="left" vertical="center" wrapText="1"/>
      <protection hidden="1"/>
    </xf>
    <xf numFmtId="3" fontId="8" fillId="20" borderId="36" xfId="1" applyNumberFormat="1" applyFont="1" applyFill="1" applyBorder="1" applyAlignment="1" applyProtection="1">
      <alignment horizontal="center" vertical="center"/>
      <protection hidden="1"/>
    </xf>
    <xf numFmtId="0" fontId="35" fillId="20" borderId="21" xfId="0" applyFont="1" applyFill="1" applyBorder="1" applyAlignment="1" applyProtection="1">
      <alignment vertical="center" wrapText="1"/>
      <protection hidden="1"/>
    </xf>
    <xf numFmtId="1" fontId="8" fillId="20" borderId="22" xfId="1" applyNumberFormat="1" applyFont="1" applyFill="1" applyBorder="1" applyAlignment="1" applyProtection="1">
      <alignment horizontal="center" vertical="center"/>
      <protection hidden="1"/>
    </xf>
    <xf numFmtId="3" fontId="8" fillId="20" borderId="37" xfId="0" applyNumberFormat="1" applyFont="1" applyFill="1" applyBorder="1" applyAlignment="1" applyProtection="1">
      <alignment horizontal="center" vertical="center"/>
      <protection hidden="1"/>
    </xf>
    <xf numFmtId="0" fontId="25" fillId="0" borderId="21" xfId="0" applyFont="1" applyBorder="1" applyAlignment="1" applyProtection="1">
      <alignment horizontal="left" vertical="center" wrapText="1"/>
      <protection hidden="1"/>
    </xf>
    <xf numFmtId="0" fontId="25" fillId="0" borderId="3" xfId="0" applyFont="1" applyBorder="1" applyAlignment="1" applyProtection="1">
      <alignment horizontal="left" vertical="center" wrapText="1"/>
      <protection hidden="1"/>
    </xf>
    <xf numFmtId="0" fontId="44" fillId="17" borderId="0" xfId="2" applyFont="1" applyFill="1" applyAlignment="1">
      <alignment horizontal="left"/>
    </xf>
    <xf numFmtId="0" fontId="34" fillId="0" borderId="0" xfId="0" applyFont="1" applyAlignment="1">
      <alignment horizontal="left"/>
    </xf>
    <xf numFmtId="0" fontId="41" fillId="14" borderId="0" xfId="2" applyFont="1" applyFill="1" applyAlignment="1">
      <alignment horizontal="left" vertical="center"/>
    </xf>
    <xf numFmtId="0" fontId="42" fillId="15" borderId="0" xfId="2" applyFont="1" applyFill="1" applyAlignment="1">
      <alignment horizontal="left" vertical="center"/>
    </xf>
    <xf numFmtId="0" fontId="41" fillId="16" borderId="0" xfId="2" applyFont="1" applyFill="1" applyAlignment="1">
      <alignment horizontal="left" vertical="center"/>
    </xf>
    <xf numFmtId="0" fontId="41" fillId="18" borderId="0" xfId="2" applyFont="1" applyFill="1" applyAlignment="1">
      <alignment horizontal="left" vertical="center"/>
    </xf>
    <xf numFmtId="0" fontId="41" fillId="12" borderId="0" xfId="2" applyFont="1" applyFill="1" applyAlignment="1">
      <alignment horizontal="left" vertical="center"/>
    </xf>
    <xf numFmtId="0" fontId="36" fillId="13" borderId="0" xfId="2" applyFont="1" applyFill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9" fillId="0" borderId="0" xfId="0" applyFont="1" applyAlignment="1">
      <alignment horizontal="right"/>
    </xf>
    <xf numFmtId="14" fontId="39" fillId="0" borderId="0" xfId="0" applyNumberFormat="1" applyFont="1" applyAlignment="1">
      <alignment horizontal="left"/>
    </xf>
    <xf numFmtId="0" fontId="40" fillId="0" borderId="0" xfId="2" applyFont="1" applyAlignment="1">
      <alignment horizontal="center"/>
    </xf>
    <xf numFmtId="0" fontId="40" fillId="0" borderId="0" xfId="2" applyFont="1" applyAlignment="1">
      <alignment horizontal="left"/>
    </xf>
    <xf numFmtId="0" fontId="17" fillId="0" borderId="1" xfId="0" applyFont="1" applyFill="1" applyBorder="1" applyAlignment="1" applyProtection="1">
      <alignment horizontal="center" vertical="center" wrapText="1"/>
      <protection hidden="1"/>
    </xf>
    <xf numFmtId="0" fontId="46" fillId="0" borderId="0" xfId="0" applyFont="1" applyAlignment="1" applyProtection="1">
      <alignment horizontal="right"/>
      <protection hidden="1"/>
    </xf>
    <xf numFmtId="0" fontId="38" fillId="0" borderId="0" xfId="0" applyFont="1" applyAlignment="1" applyProtection="1">
      <alignment horizontal="left" vertical="center" wrapText="1"/>
      <protection hidden="1"/>
    </xf>
    <xf numFmtId="0" fontId="38" fillId="0" borderId="12" xfId="0" applyFont="1" applyBorder="1" applyAlignment="1" applyProtection="1">
      <alignment horizontal="left" vertical="center" wrapText="1"/>
      <protection hidden="1"/>
    </xf>
    <xf numFmtId="0" fontId="21" fillId="8" borderId="49" xfId="0" applyFont="1" applyFill="1" applyBorder="1" applyAlignment="1" applyProtection="1">
      <alignment horizontal="center" vertical="center" wrapText="1"/>
      <protection hidden="1"/>
    </xf>
    <xf numFmtId="0" fontId="21" fillId="8" borderId="50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right"/>
    </xf>
    <xf numFmtId="0" fontId="7" fillId="2" borderId="33" xfId="0" applyFont="1" applyFill="1" applyBorder="1" applyAlignment="1" applyProtection="1">
      <alignment horizontal="center" vertical="center" wrapText="1"/>
      <protection hidden="1"/>
    </xf>
    <xf numFmtId="0" fontId="7" fillId="2" borderId="32" xfId="0" applyFont="1" applyFill="1" applyBorder="1" applyAlignment="1" applyProtection="1">
      <alignment horizontal="center" vertical="center" wrapText="1"/>
      <protection hidden="1"/>
    </xf>
    <xf numFmtId="0" fontId="17" fillId="0" borderId="40" xfId="0" applyFont="1" applyFill="1" applyBorder="1" applyAlignment="1" applyProtection="1">
      <alignment horizontal="center" vertical="center" wrapTex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7" fillId="2" borderId="8" xfId="0" applyFont="1" applyFill="1" applyBorder="1" applyAlignment="1" applyProtection="1">
      <alignment horizontal="center" vertical="center"/>
      <protection hidden="1"/>
    </xf>
    <xf numFmtId="0" fontId="7" fillId="2" borderId="4" xfId="0" applyFont="1" applyFill="1" applyBorder="1" applyAlignment="1" applyProtection="1">
      <alignment horizontal="center" vertical="center"/>
      <protection hidden="1"/>
    </xf>
    <xf numFmtId="0" fontId="7" fillId="2" borderId="9" xfId="0" applyFont="1" applyFill="1" applyBorder="1" applyAlignment="1" applyProtection="1">
      <alignment horizontal="center" vertical="center" wrapText="1"/>
      <protection hidden="1"/>
    </xf>
    <xf numFmtId="0" fontId="7" fillId="2" borderId="6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0" fontId="7" fillId="2" borderId="11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0" fontId="7" fillId="2" borderId="11" xfId="0" applyFont="1" applyFill="1" applyBorder="1" applyAlignment="1" applyProtection="1">
      <alignment horizontal="center" vertical="center"/>
      <protection hidden="1"/>
    </xf>
    <xf numFmtId="0" fontId="7" fillId="2" borderId="9" xfId="0" applyFont="1" applyFill="1" applyBorder="1" applyAlignment="1" applyProtection="1">
      <alignment horizontal="center" vertical="center"/>
      <protection hidden="1"/>
    </xf>
    <xf numFmtId="0" fontId="17" fillId="0" borderId="9" xfId="0" applyFont="1" applyFill="1" applyBorder="1" applyAlignment="1" applyProtection="1">
      <alignment horizontal="center" vertical="center" wrapText="1"/>
      <protection hidden="1"/>
    </xf>
    <xf numFmtId="0" fontId="17" fillId="0" borderId="6" xfId="0" applyFont="1" applyFill="1" applyBorder="1" applyAlignment="1" applyProtection="1">
      <alignment horizontal="center" vertical="center" wrapText="1"/>
      <protection hidden="1"/>
    </xf>
    <xf numFmtId="0" fontId="9" fillId="4" borderId="25" xfId="0" applyFont="1" applyFill="1" applyBorder="1" applyAlignment="1" applyProtection="1">
      <alignment horizontal="center" vertical="center" wrapText="1"/>
      <protection hidden="1"/>
    </xf>
    <xf numFmtId="0" fontId="9" fillId="4" borderId="26" xfId="0" applyFont="1" applyFill="1" applyBorder="1" applyAlignment="1" applyProtection="1">
      <alignment horizontal="center" vertical="center" wrapText="1"/>
      <protection hidden="1"/>
    </xf>
    <xf numFmtId="0" fontId="9" fillId="4" borderId="27" xfId="0" applyFont="1" applyFill="1" applyBorder="1" applyAlignment="1" applyProtection="1">
      <alignment horizontal="center" vertical="center" wrapText="1"/>
      <protection hidden="1"/>
    </xf>
    <xf numFmtId="49" fontId="17" fillId="20" borderId="22" xfId="0" applyNumberFormat="1" applyFont="1" applyFill="1" applyBorder="1" applyAlignment="1" applyProtection="1">
      <alignment horizontal="left" vertical="top" wrapText="1"/>
      <protection hidden="1"/>
    </xf>
    <xf numFmtId="49" fontId="17" fillId="20" borderId="1" xfId="0" applyNumberFormat="1" applyFont="1" applyFill="1" applyBorder="1" applyAlignment="1" applyProtection="1">
      <alignment horizontal="left" vertical="top" wrapText="1"/>
      <protection hidden="1"/>
    </xf>
    <xf numFmtId="49" fontId="17" fillId="20" borderId="6" xfId="0" applyNumberFormat="1" applyFont="1" applyFill="1" applyBorder="1" applyAlignment="1" applyProtection="1">
      <alignment horizontal="left" vertical="top" wrapText="1"/>
      <protection hidden="1"/>
    </xf>
    <xf numFmtId="0" fontId="12" fillId="4" borderId="25" xfId="0" applyFont="1" applyFill="1" applyBorder="1" applyAlignment="1" applyProtection="1">
      <alignment horizontal="center" vertical="center"/>
      <protection hidden="1"/>
    </xf>
    <xf numFmtId="0" fontId="12" fillId="4" borderId="26" xfId="0" applyFont="1" applyFill="1" applyBorder="1" applyAlignment="1" applyProtection="1">
      <alignment horizontal="center" vertical="center"/>
      <protection hidden="1"/>
    </xf>
    <xf numFmtId="0" fontId="12" fillId="4" borderId="27" xfId="0" applyFont="1" applyFill="1" applyBorder="1" applyAlignment="1" applyProtection="1">
      <alignment horizontal="center" vertical="center"/>
      <protection hidden="1"/>
    </xf>
    <xf numFmtId="0" fontId="9" fillId="4" borderId="61" xfId="0" applyFont="1" applyFill="1" applyBorder="1" applyAlignment="1" applyProtection="1">
      <alignment horizontal="center" vertical="center" wrapText="1"/>
      <protection hidden="1"/>
    </xf>
    <xf numFmtId="0" fontId="9" fillId="4" borderId="41" xfId="0" applyFont="1" applyFill="1" applyBorder="1" applyAlignment="1" applyProtection="1">
      <alignment horizontal="center" vertical="center" wrapText="1"/>
      <protection hidden="1"/>
    </xf>
    <xf numFmtId="0" fontId="9" fillId="4" borderId="62" xfId="0" applyFont="1" applyFill="1" applyBorder="1" applyAlignment="1" applyProtection="1">
      <alignment horizontal="center" vertical="center" wrapText="1"/>
      <protection hidden="1"/>
    </xf>
    <xf numFmtId="0" fontId="17" fillId="0" borderId="22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17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18" xfId="0" applyFont="1" applyFill="1" applyBorder="1" applyAlignment="1" applyProtection="1">
      <alignment horizontal="center" vertical="center"/>
      <protection hidden="1"/>
    </xf>
    <xf numFmtId="0" fontId="33" fillId="2" borderId="25" xfId="0" applyFont="1" applyFill="1" applyBorder="1" applyAlignment="1" applyProtection="1">
      <alignment horizontal="center" vertical="center" wrapText="1"/>
      <protection hidden="1"/>
    </xf>
    <xf numFmtId="0" fontId="33" fillId="2" borderId="26" xfId="0" applyFont="1" applyFill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2" fillId="4" borderId="12" xfId="0" applyFont="1" applyFill="1" applyBorder="1" applyAlignment="1" applyProtection="1">
      <alignment horizontal="center" vertical="center"/>
      <protection hidden="1"/>
    </xf>
    <xf numFmtId="0" fontId="12" fillId="4" borderId="38" xfId="0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7" fillId="5" borderId="8" xfId="0" applyFont="1" applyFill="1" applyBorder="1" applyAlignment="1" applyProtection="1">
      <alignment horizontal="center" vertical="center"/>
      <protection hidden="1"/>
    </xf>
    <xf numFmtId="0" fontId="7" fillId="5" borderId="4" xfId="0" applyFont="1" applyFill="1" applyBorder="1" applyAlignment="1" applyProtection="1">
      <alignment horizontal="center" vertical="center"/>
      <protection hidden="1"/>
    </xf>
    <xf numFmtId="0" fontId="7" fillId="5" borderId="16" xfId="0" applyFont="1" applyFill="1" applyBorder="1" applyAlignment="1" applyProtection="1">
      <alignment horizontal="center" vertical="center" wrapText="1"/>
      <protection hidden="1"/>
    </xf>
    <xf numFmtId="0" fontId="7" fillId="5" borderId="7" xfId="0" applyFont="1" applyFill="1" applyBorder="1" applyAlignment="1" applyProtection="1">
      <alignment horizontal="center" vertical="center" wrapText="1"/>
      <protection hidden="1"/>
    </xf>
    <xf numFmtId="0" fontId="7" fillId="5" borderId="13" xfId="0" applyFont="1" applyFill="1" applyBorder="1" applyAlignment="1" applyProtection="1">
      <alignment horizontal="center" vertical="center" wrapText="1"/>
      <protection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1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7" fillId="5" borderId="6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43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0" fillId="4" borderId="26" xfId="0" applyFill="1" applyBorder="1" applyAlignment="1" applyProtection="1">
      <alignment horizontal="center" vertical="center"/>
      <protection hidden="1"/>
    </xf>
    <xf numFmtId="0" fontId="0" fillId="4" borderId="27" xfId="0" applyFill="1" applyBorder="1" applyAlignment="1" applyProtection="1">
      <alignment horizontal="center" vertical="center"/>
      <protection hidden="1"/>
    </xf>
    <xf numFmtId="0" fontId="12" fillId="4" borderId="25" xfId="0" applyFont="1" applyFill="1" applyBorder="1" applyAlignment="1" applyProtection="1">
      <alignment horizontal="center" vertical="center" wrapText="1"/>
      <protection hidden="1"/>
    </xf>
    <xf numFmtId="0" fontId="12" fillId="4" borderId="26" xfId="0" applyFont="1" applyFill="1" applyBorder="1" applyAlignment="1" applyProtection="1">
      <alignment horizontal="center" vertical="center" wrapText="1"/>
      <protection hidden="1"/>
    </xf>
    <xf numFmtId="0" fontId="12" fillId="4" borderId="27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>
      <alignment horizontal="right"/>
    </xf>
    <xf numFmtId="0" fontId="38" fillId="0" borderId="0" xfId="0" applyFont="1" applyBorder="1" applyAlignment="1" applyProtection="1">
      <alignment horizontal="left" vertical="center" wrapText="1"/>
      <protection hidden="1"/>
    </xf>
    <xf numFmtId="0" fontId="21" fillId="5" borderId="49" xfId="0" applyFont="1" applyFill="1" applyBorder="1" applyAlignment="1" applyProtection="1">
      <alignment horizontal="center" vertical="center" wrapText="1"/>
      <protection hidden="1"/>
    </xf>
    <xf numFmtId="0" fontId="21" fillId="5" borderId="50" xfId="0" applyFont="1" applyFill="1" applyBorder="1" applyAlignment="1" applyProtection="1">
      <alignment horizontal="center" vertical="center" wrapText="1"/>
      <protection hidden="1"/>
    </xf>
    <xf numFmtId="0" fontId="9" fillId="4" borderId="25" xfId="0" applyFont="1" applyFill="1" applyBorder="1" applyAlignment="1" applyProtection="1">
      <alignment horizontal="center" vertical="center"/>
      <protection hidden="1"/>
    </xf>
    <xf numFmtId="0" fontId="9" fillId="4" borderId="26" xfId="0" applyFont="1" applyFill="1" applyBorder="1" applyAlignment="1" applyProtection="1">
      <alignment horizontal="center" vertical="center"/>
      <protection hidden="1"/>
    </xf>
    <xf numFmtId="0" fontId="9" fillId="4" borderId="27" xfId="0" applyFont="1" applyFill="1" applyBorder="1" applyAlignment="1" applyProtection="1">
      <alignment horizontal="center" vertical="center"/>
      <protection hidden="1"/>
    </xf>
    <xf numFmtId="0" fontId="8" fillId="0" borderId="23" xfId="0" applyFont="1" applyFill="1" applyBorder="1" applyAlignment="1" applyProtection="1">
      <alignment horizontal="center" vertical="center" wrapText="1"/>
      <protection hidden="1"/>
    </xf>
    <xf numFmtId="0" fontId="8" fillId="0" borderId="30" xfId="0" applyFont="1" applyFill="1" applyBorder="1" applyAlignment="1" applyProtection="1">
      <alignment horizontal="center" vertical="center" wrapText="1"/>
      <protection hidden="1"/>
    </xf>
    <xf numFmtId="0" fontId="8" fillId="0" borderId="24" xfId="0" applyFont="1" applyFill="1" applyBorder="1" applyAlignment="1" applyProtection="1">
      <alignment horizontal="center" vertical="center" wrapText="1"/>
      <protection hidden="1"/>
    </xf>
    <xf numFmtId="0" fontId="18" fillId="0" borderId="17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Border="1" applyAlignment="1" applyProtection="1">
      <alignment horizontal="center" vertical="center" wrapText="1"/>
      <protection hidden="1"/>
    </xf>
    <xf numFmtId="0" fontId="18" fillId="0" borderId="18" xfId="0" applyFont="1" applyFill="1" applyBorder="1" applyAlignment="1" applyProtection="1">
      <alignment horizontal="center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Fill="1" applyBorder="1" applyAlignment="1" applyProtection="1">
      <alignment horizontal="center" vertical="center" wrapText="1"/>
      <protection hidden="1"/>
    </xf>
    <xf numFmtId="0" fontId="8" fillId="0" borderId="15" xfId="0" applyFont="1" applyFill="1" applyBorder="1" applyAlignment="1" applyProtection="1">
      <alignment horizontal="center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7" fillId="6" borderId="8" xfId="0" applyFont="1" applyFill="1" applyBorder="1" applyAlignment="1" applyProtection="1">
      <alignment horizontal="center" vertical="center"/>
      <protection hidden="1"/>
    </xf>
    <xf numFmtId="0" fontId="7" fillId="6" borderId="4" xfId="0" applyFont="1" applyFill="1" applyBorder="1" applyAlignment="1" applyProtection="1">
      <alignment horizontal="center" vertical="center"/>
      <protection hidden="1"/>
    </xf>
    <xf numFmtId="0" fontId="7" fillId="6" borderId="16" xfId="0" applyFont="1" applyFill="1" applyBorder="1" applyAlignment="1" applyProtection="1">
      <alignment horizontal="center" vertical="center" wrapText="1"/>
      <protection hidden="1"/>
    </xf>
    <xf numFmtId="0" fontId="7" fillId="6" borderId="7" xfId="0" applyFont="1" applyFill="1" applyBorder="1" applyAlignment="1" applyProtection="1">
      <alignment horizontal="center" vertical="center" wrapText="1"/>
      <protection hidden="1"/>
    </xf>
    <xf numFmtId="0" fontId="7" fillId="6" borderId="13" xfId="0" applyFont="1" applyFill="1" applyBorder="1" applyAlignment="1" applyProtection="1">
      <alignment horizontal="center" vertical="center" wrapText="1"/>
      <protection hidden="1"/>
    </xf>
    <xf numFmtId="0" fontId="7" fillId="6" borderId="19" xfId="0" applyFont="1" applyFill="1" applyBorder="1" applyAlignment="1" applyProtection="1">
      <alignment horizontal="center" vertical="center" wrapText="1"/>
      <protection hidden="1"/>
    </xf>
    <xf numFmtId="0" fontId="7" fillId="6" borderId="12" xfId="0" applyFont="1" applyFill="1" applyBorder="1" applyAlignment="1" applyProtection="1">
      <alignment horizontal="center" vertical="center" wrapText="1"/>
      <protection hidden="1"/>
    </xf>
    <xf numFmtId="0" fontId="7" fillId="6" borderId="20" xfId="0" applyFont="1" applyFill="1" applyBorder="1" applyAlignment="1" applyProtection="1">
      <alignment horizontal="center" vertical="center" wrapText="1"/>
      <protection hidden="1"/>
    </xf>
    <xf numFmtId="0" fontId="7" fillId="6" borderId="9" xfId="0" applyFont="1" applyFill="1" applyBorder="1" applyAlignment="1" applyProtection="1">
      <alignment horizontal="center" vertical="center" wrapText="1"/>
      <protection hidden="1"/>
    </xf>
    <xf numFmtId="0" fontId="7" fillId="6" borderId="6" xfId="0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left" vertical="center" wrapText="1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0" fontId="5" fillId="0" borderId="40" xfId="0" applyFont="1" applyFill="1" applyBorder="1" applyAlignment="1" applyProtection="1">
      <alignment horizontal="center" vertical="center" wrapText="1"/>
      <protection hidden="1"/>
    </xf>
    <xf numFmtId="0" fontId="5" fillId="0" borderId="41" xfId="0" applyFont="1" applyFill="1" applyBorder="1" applyAlignment="1" applyProtection="1">
      <alignment horizontal="center" vertical="center" wrapText="1"/>
      <protection hidden="1"/>
    </xf>
    <xf numFmtId="0" fontId="5" fillId="0" borderId="42" xfId="0" applyFont="1" applyFill="1" applyBorder="1" applyAlignment="1" applyProtection="1">
      <alignment horizontal="center" vertical="center" wrapText="1"/>
      <protection hidden="1"/>
    </xf>
    <xf numFmtId="0" fontId="5" fillId="0" borderId="10" xfId="0" applyFont="1" applyFill="1" applyBorder="1" applyAlignment="1" applyProtection="1">
      <alignment horizontal="center" vertical="center" wrapText="1"/>
      <protection hidden="1"/>
    </xf>
    <xf numFmtId="0" fontId="5" fillId="0" borderId="43" xfId="0" applyFont="1" applyFill="1" applyBorder="1" applyAlignment="1" applyProtection="1">
      <alignment horizontal="center" vertical="center" wrapText="1"/>
      <protection hidden="1"/>
    </xf>
    <xf numFmtId="0" fontId="5" fillId="0" borderId="11" xfId="0" applyFont="1" applyFill="1" applyBorder="1" applyAlignment="1" applyProtection="1">
      <alignment horizontal="center" vertical="center" wrapText="1"/>
      <protection hidden="1"/>
    </xf>
    <xf numFmtId="0" fontId="20" fillId="0" borderId="7" xfId="0" applyFont="1" applyFill="1" applyBorder="1" applyAlignment="1">
      <alignment horizontal="right"/>
    </xf>
    <xf numFmtId="0" fontId="5" fillId="0" borderId="56" xfId="0" applyFont="1" applyFill="1" applyBorder="1" applyAlignment="1" applyProtection="1">
      <alignment horizontal="center" vertical="center" wrapText="1"/>
      <protection hidden="1"/>
    </xf>
    <xf numFmtId="0" fontId="5" fillId="0" borderId="59" xfId="0" applyFont="1" applyFill="1" applyBorder="1" applyAlignment="1" applyProtection="1">
      <alignment horizontal="center" vertical="center" wrapText="1"/>
      <protection hidden="1"/>
    </xf>
    <xf numFmtId="0" fontId="5" fillId="0" borderId="60" xfId="0" applyFont="1" applyFill="1" applyBorder="1" applyAlignment="1" applyProtection="1">
      <alignment horizontal="center" vertical="center" wrapText="1"/>
      <protection hidden="1"/>
    </xf>
    <xf numFmtId="0" fontId="7" fillId="4" borderId="25" xfId="0" applyFont="1" applyFill="1" applyBorder="1" applyAlignment="1" applyProtection="1">
      <alignment horizontal="center" vertical="center"/>
      <protection hidden="1"/>
    </xf>
    <xf numFmtId="0" fontId="7" fillId="4" borderId="26" xfId="0" applyFont="1" applyFill="1" applyBorder="1" applyAlignment="1" applyProtection="1">
      <alignment horizontal="center" vertical="center"/>
      <protection hidden="1"/>
    </xf>
    <xf numFmtId="0" fontId="7" fillId="4" borderId="27" xfId="0" applyFont="1" applyFill="1" applyBorder="1" applyAlignment="1" applyProtection="1">
      <alignment horizontal="center" vertical="center"/>
      <protection hidden="1"/>
    </xf>
    <xf numFmtId="0" fontId="37" fillId="0" borderId="12" xfId="0" applyFont="1" applyBorder="1" applyAlignment="1" applyProtection="1">
      <alignment horizontal="left" vertical="center" wrapText="1"/>
      <protection hidden="1"/>
    </xf>
    <xf numFmtId="0" fontId="7" fillId="11" borderId="16" xfId="0" applyFont="1" applyFill="1" applyBorder="1" applyAlignment="1" applyProtection="1">
      <alignment horizontal="center" vertical="center"/>
      <protection hidden="1"/>
    </xf>
    <xf numFmtId="0" fontId="7" fillId="11" borderId="7" xfId="0" applyFont="1" applyFill="1" applyBorder="1" applyAlignment="1" applyProtection="1">
      <alignment horizontal="center" vertical="center"/>
      <protection hidden="1"/>
    </xf>
    <xf numFmtId="0" fontId="7" fillId="11" borderId="13" xfId="0" applyFont="1" applyFill="1" applyBorder="1" applyAlignment="1" applyProtection="1">
      <alignment horizontal="center" vertical="center"/>
      <protection hidden="1"/>
    </xf>
    <xf numFmtId="0" fontId="7" fillId="11" borderId="19" xfId="0" applyFont="1" applyFill="1" applyBorder="1" applyAlignment="1" applyProtection="1">
      <alignment horizontal="center" vertical="center"/>
      <protection hidden="1"/>
    </xf>
    <xf numFmtId="0" fontId="7" fillId="11" borderId="12" xfId="0" applyFont="1" applyFill="1" applyBorder="1" applyAlignment="1" applyProtection="1">
      <alignment horizontal="center" vertical="center"/>
      <protection hidden="1"/>
    </xf>
    <xf numFmtId="0" fontId="7" fillId="11" borderId="20" xfId="0" applyFont="1" applyFill="1" applyBorder="1" applyAlignment="1" applyProtection="1">
      <alignment horizontal="center" vertical="center"/>
      <protection hidden="1"/>
    </xf>
    <xf numFmtId="0" fontId="7" fillId="11" borderId="33" xfId="0" applyFont="1" applyFill="1" applyBorder="1" applyAlignment="1" applyProtection="1">
      <alignment horizontal="center" vertical="center" wrapText="1"/>
      <protection hidden="1"/>
    </xf>
    <xf numFmtId="0" fontId="7" fillId="11" borderId="32" xfId="0" applyFont="1" applyFill="1" applyBorder="1" applyAlignment="1" applyProtection="1">
      <alignment horizontal="center" vertical="center" wrapText="1"/>
      <protection hidden="1"/>
    </xf>
    <xf numFmtId="0" fontId="7" fillId="11" borderId="54" xfId="0" applyFont="1" applyFill="1" applyBorder="1" applyAlignment="1" applyProtection="1">
      <alignment horizontal="center" vertical="center"/>
      <protection hidden="1"/>
    </xf>
    <xf numFmtId="0" fontId="7" fillId="11" borderId="48" xfId="0" applyFont="1" applyFill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horizontal="center" vertical="center" wrapText="1"/>
      <protection hidden="1"/>
    </xf>
    <xf numFmtId="0" fontId="5" fillId="0" borderId="41" xfId="0" applyFont="1" applyBorder="1" applyAlignment="1" applyProtection="1">
      <alignment horizontal="center" vertical="center" wrapText="1"/>
      <protection hidden="1"/>
    </xf>
    <xf numFmtId="0" fontId="5" fillId="0" borderId="42" xfId="0" applyFont="1" applyBorder="1" applyAlignment="1" applyProtection="1">
      <alignment horizontal="center" vertical="center" wrapText="1"/>
      <protection hidden="1"/>
    </xf>
    <xf numFmtId="1" fontId="9" fillId="4" borderId="25" xfId="0" applyNumberFormat="1" applyFont="1" applyFill="1" applyBorder="1" applyAlignment="1" applyProtection="1">
      <alignment horizontal="center" vertical="center"/>
      <protection hidden="1"/>
    </xf>
    <xf numFmtId="1" fontId="9" fillId="4" borderId="26" xfId="0" applyNumberFormat="1" applyFont="1" applyFill="1" applyBorder="1" applyAlignment="1" applyProtection="1">
      <alignment horizontal="center" vertical="center"/>
      <protection hidden="1"/>
    </xf>
    <xf numFmtId="1" fontId="9" fillId="4" borderId="27" xfId="0" applyNumberFormat="1" applyFont="1" applyFill="1" applyBorder="1" applyAlignment="1" applyProtection="1">
      <alignment horizontal="center" vertical="center"/>
      <protection hidden="1"/>
    </xf>
    <xf numFmtId="0" fontId="5" fillId="0" borderId="22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9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Fill="1" applyBorder="1" applyAlignment="1" applyProtection="1">
      <alignment horizontal="center" vertical="center" wrapText="1"/>
      <protection hidden="1"/>
    </xf>
    <xf numFmtId="0" fontId="5" fillId="0" borderId="20" xfId="0" applyFont="1" applyFill="1" applyBorder="1" applyAlignment="1" applyProtection="1">
      <alignment horizontal="center" vertical="center" wrapText="1"/>
      <protection hidden="1"/>
    </xf>
    <xf numFmtId="0" fontId="5" fillId="0" borderId="17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18" xfId="0" applyFont="1" applyFill="1" applyBorder="1" applyAlignment="1" applyProtection="1">
      <alignment horizontal="center" vertical="center" wrapText="1"/>
      <protection hidden="1"/>
    </xf>
    <xf numFmtId="0" fontId="5" fillId="0" borderId="23" xfId="0" applyFont="1" applyFill="1" applyBorder="1" applyAlignment="1" applyProtection="1">
      <alignment horizontal="center" vertical="center" wrapText="1"/>
      <protection hidden="1"/>
    </xf>
    <xf numFmtId="0" fontId="5" fillId="0" borderId="30" xfId="0" applyFont="1" applyFill="1" applyBorder="1" applyAlignment="1" applyProtection="1">
      <alignment horizontal="center" vertical="center" wrapText="1"/>
      <protection hidden="1"/>
    </xf>
    <xf numFmtId="0" fontId="5" fillId="0" borderId="24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 wrapText="1"/>
      <protection hidden="1"/>
    </xf>
    <xf numFmtId="0" fontId="7" fillId="3" borderId="6" xfId="0" applyFont="1" applyFill="1" applyBorder="1" applyAlignment="1" applyProtection="1">
      <alignment horizontal="center" vertical="center" wrapText="1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6" xfId="0" applyFont="1" applyFill="1" applyBorder="1" applyAlignment="1" applyProtection="1">
      <alignment horizontal="center" vertical="center"/>
      <protection hidden="1"/>
    </xf>
    <xf numFmtId="0" fontId="30" fillId="4" borderId="25" xfId="0" applyFont="1" applyFill="1" applyBorder="1" applyAlignment="1" applyProtection="1">
      <alignment horizontal="center" vertical="center"/>
      <protection hidden="1"/>
    </xf>
    <xf numFmtId="0" fontId="30" fillId="4" borderId="26" xfId="0" applyFont="1" applyFill="1" applyBorder="1" applyAlignment="1" applyProtection="1">
      <alignment horizontal="center" vertical="center"/>
      <protection hidden="1"/>
    </xf>
    <xf numFmtId="0" fontId="30" fillId="4" borderId="27" xfId="0" applyFont="1" applyFill="1" applyBorder="1" applyAlignment="1" applyProtection="1">
      <alignment horizontal="center" vertical="center"/>
      <protection hidden="1"/>
    </xf>
    <xf numFmtId="0" fontId="17" fillId="0" borderId="5" xfId="0" applyFont="1" applyFill="1" applyBorder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left" vertical="top" wrapText="1"/>
      <protection hidden="1"/>
    </xf>
    <xf numFmtId="0" fontId="37" fillId="0" borderId="12" xfId="0" applyFont="1" applyBorder="1" applyAlignment="1" applyProtection="1">
      <alignment horizontal="left" vertical="top" wrapText="1"/>
      <protection hidden="1"/>
    </xf>
    <xf numFmtId="0" fontId="30" fillId="3" borderId="49" xfId="0" applyFont="1" applyFill="1" applyBorder="1" applyAlignment="1" applyProtection="1">
      <alignment horizontal="center" vertical="center"/>
      <protection hidden="1"/>
    </xf>
    <xf numFmtId="0" fontId="30" fillId="3" borderId="50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1" fontId="29" fillId="4" borderId="39" xfId="0" applyNumberFormat="1" applyFont="1" applyFill="1" applyBorder="1" applyAlignment="1" applyProtection="1">
      <alignment horizontal="center" vertical="center"/>
      <protection hidden="1"/>
    </xf>
    <xf numFmtId="1" fontId="29" fillId="4" borderId="12" xfId="0" applyNumberFormat="1" applyFont="1" applyFill="1" applyBorder="1" applyAlignment="1" applyProtection="1">
      <alignment horizontal="center" vertical="center"/>
      <protection hidden="1"/>
    </xf>
    <xf numFmtId="1" fontId="29" fillId="4" borderId="38" xfId="0" applyNumberFormat="1" applyFont="1" applyFill="1" applyBorder="1" applyAlignment="1" applyProtection="1">
      <alignment horizontal="center" vertical="center"/>
      <protection hidden="1"/>
    </xf>
    <xf numFmtId="0" fontId="29" fillId="4" borderId="25" xfId="0" applyFont="1" applyFill="1" applyBorder="1" applyAlignment="1" applyProtection="1">
      <alignment horizontal="center" vertical="center"/>
      <protection hidden="1"/>
    </xf>
    <xf numFmtId="0" fontId="29" fillId="4" borderId="26" xfId="0" applyFont="1" applyFill="1" applyBorder="1" applyAlignment="1" applyProtection="1">
      <alignment horizontal="center" vertical="center"/>
      <protection hidden="1"/>
    </xf>
    <xf numFmtId="0" fontId="29" fillId="4" borderId="27" xfId="0" applyFont="1" applyFill="1" applyBorder="1" applyAlignment="1" applyProtection="1">
      <alignment horizontal="center" vertical="center"/>
      <protection hidden="1"/>
    </xf>
    <xf numFmtId="0" fontId="9" fillId="4" borderId="39" xfId="0" applyFont="1" applyFill="1" applyBorder="1" applyAlignment="1" applyProtection="1">
      <alignment horizontal="center" vertical="center"/>
      <protection hidden="1"/>
    </xf>
    <xf numFmtId="0" fontId="9" fillId="4" borderId="12" xfId="0" applyFont="1" applyFill="1" applyBorder="1" applyAlignment="1" applyProtection="1">
      <alignment horizontal="center" vertical="center"/>
      <protection hidden="1"/>
    </xf>
    <xf numFmtId="0" fontId="9" fillId="4" borderId="38" xfId="0" applyFont="1" applyFill="1" applyBorder="1" applyAlignment="1" applyProtection="1">
      <alignment horizontal="center" vertical="center"/>
      <protection hidden="1"/>
    </xf>
    <xf numFmtId="0" fontId="19" fillId="0" borderId="1" xfId="0" applyFont="1" applyFill="1" applyBorder="1" applyAlignment="1" applyProtection="1">
      <alignment horizontal="center" vertical="center" wrapText="1"/>
      <protection hidden="1"/>
    </xf>
    <xf numFmtId="0" fontId="18" fillId="0" borderId="1" xfId="0" applyFont="1" applyFill="1" applyBorder="1" applyAlignment="1" applyProtection="1">
      <alignment horizontal="center" vertical="center" wrapText="1"/>
      <protection hidden="1"/>
    </xf>
    <xf numFmtId="1" fontId="29" fillId="4" borderId="25" xfId="0" applyNumberFormat="1" applyFont="1" applyFill="1" applyBorder="1" applyAlignment="1" applyProtection="1">
      <alignment horizontal="center" vertical="center"/>
      <protection hidden="1"/>
    </xf>
    <xf numFmtId="1" fontId="29" fillId="4" borderId="26" xfId="0" applyNumberFormat="1" applyFont="1" applyFill="1" applyBorder="1" applyAlignment="1" applyProtection="1">
      <alignment horizontal="center" vertical="center"/>
      <protection hidden="1"/>
    </xf>
    <xf numFmtId="1" fontId="29" fillId="4" borderId="27" xfId="0" applyNumberFormat="1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Border="1" applyAlignment="1" applyProtection="1">
      <alignment horizontal="right"/>
      <protection hidden="1"/>
    </xf>
    <xf numFmtId="0" fontId="29" fillId="4" borderId="1" xfId="0" applyFont="1" applyFill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 wrapText="1"/>
      <protection hidden="1"/>
    </xf>
    <xf numFmtId="0" fontId="5" fillId="0" borderId="26" xfId="0" applyFont="1" applyBorder="1" applyAlignment="1" applyProtection="1">
      <alignment horizontal="center" vertical="center" wrapText="1"/>
      <protection hidden="1"/>
    </xf>
    <xf numFmtId="0" fontId="5" fillId="0" borderId="46" xfId="0" applyFont="1" applyBorder="1" applyAlignment="1" applyProtection="1">
      <alignment horizontal="center" vertical="center" wrapText="1"/>
      <protection hidden="1"/>
    </xf>
    <xf numFmtId="0" fontId="18" fillId="0" borderId="22" xfId="0" applyFont="1" applyFill="1" applyBorder="1" applyAlignment="1" applyProtection="1">
      <alignment horizontal="center" vertical="center" wrapText="1"/>
      <protection hidden="1"/>
    </xf>
    <xf numFmtId="1" fontId="29" fillId="4" borderId="57" xfId="0" applyNumberFormat="1" applyFont="1" applyFill="1" applyBorder="1" applyAlignment="1" applyProtection="1">
      <alignment horizontal="center" vertical="center"/>
      <protection hidden="1"/>
    </xf>
    <xf numFmtId="1" fontId="29" fillId="4" borderId="7" xfId="0" applyNumberFormat="1" applyFont="1" applyFill="1" applyBorder="1" applyAlignment="1" applyProtection="1">
      <alignment horizontal="center" vertical="center"/>
      <protection hidden="1"/>
    </xf>
    <xf numFmtId="1" fontId="29" fillId="4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18" fillId="20" borderId="22" xfId="0" applyFont="1" applyFill="1" applyBorder="1" applyAlignment="1" applyProtection="1">
      <alignment horizontal="center" vertical="center" wrapText="1"/>
      <protection hidden="1"/>
    </xf>
    <xf numFmtId="49" fontId="8" fillId="0" borderId="4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33" xfId="0" applyFont="1" applyFill="1" applyBorder="1" applyAlignment="1" applyProtection="1">
      <alignment horizontal="center" vertical="center" wrapText="1"/>
      <protection hidden="1"/>
    </xf>
    <xf numFmtId="0" fontId="17" fillId="0" borderId="1" xfId="0" applyFont="1" applyFill="1" applyBorder="1" applyAlignment="1" applyProtection="1">
      <alignment horizontal="center" wrapText="1"/>
      <protection hidden="1"/>
    </xf>
    <xf numFmtId="0" fontId="17" fillId="0" borderId="32" xfId="0" applyFont="1" applyFill="1" applyBorder="1" applyAlignment="1" applyProtection="1">
      <alignment horizontal="center" vertical="top" wrapText="1"/>
      <protection hidden="1"/>
    </xf>
    <xf numFmtId="0" fontId="17" fillId="0" borderId="33" xfId="0" applyFont="1" applyFill="1" applyBorder="1" applyAlignment="1" applyProtection="1">
      <alignment horizontal="center" wrapText="1"/>
      <protection hidden="1"/>
    </xf>
    <xf numFmtId="0" fontId="12" fillId="4" borderId="39" xfId="0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49" fontId="18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7" borderId="9" xfId="0" applyFont="1" applyFill="1" applyBorder="1" applyAlignment="1" applyProtection="1">
      <alignment horizontal="center" vertical="center" wrapText="1"/>
      <protection hidden="1"/>
    </xf>
    <xf numFmtId="0" fontId="7" fillId="7" borderId="6" xfId="0" applyFont="1" applyFill="1" applyBorder="1" applyAlignment="1" applyProtection="1">
      <alignment horizontal="center" vertical="center" wrapText="1"/>
      <protection hidden="1"/>
    </xf>
    <xf numFmtId="0" fontId="8" fillId="0" borderId="23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/>
      <protection hidden="1"/>
    </xf>
    <xf numFmtId="0" fontId="8" fillId="0" borderId="24" xfId="0" applyFont="1" applyFill="1" applyBorder="1" applyAlignment="1" applyProtection="1">
      <alignment horizontal="center" vertical="center"/>
      <protection hidden="1"/>
    </xf>
    <xf numFmtId="0" fontId="7" fillId="7" borderId="8" xfId="0" applyFont="1" applyFill="1" applyBorder="1" applyAlignment="1" applyProtection="1">
      <alignment horizontal="center" vertical="center"/>
      <protection hidden="1"/>
    </xf>
    <xf numFmtId="0" fontId="7" fillId="7" borderId="4" xfId="0" applyFont="1" applyFill="1" applyBorder="1" applyAlignment="1" applyProtection="1">
      <alignment horizontal="center" vertical="center"/>
      <protection hidden="1"/>
    </xf>
    <xf numFmtId="0" fontId="7" fillId="7" borderId="16" xfId="0" applyFont="1" applyFill="1" applyBorder="1" applyAlignment="1" applyProtection="1">
      <alignment horizontal="center" vertical="center" wrapText="1"/>
      <protection hidden="1"/>
    </xf>
    <xf numFmtId="0" fontId="7" fillId="7" borderId="7" xfId="0" applyFont="1" applyFill="1" applyBorder="1" applyAlignment="1" applyProtection="1">
      <alignment horizontal="center" vertical="center" wrapText="1"/>
      <protection hidden="1"/>
    </xf>
    <xf numFmtId="0" fontId="7" fillId="7" borderId="13" xfId="0" applyFont="1" applyFill="1" applyBorder="1" applyAlignment="1" applyProtection="1">
      <alignment horizontal="center" vertical="center" wrapText="1"/>
      <protection hidden="1"/>
    </xf>
    <xf numFmtId="0" fontId="7" fillId="7" borderId="19" xfId="0" applyFont="1" applyFill="1" applyBorder="1" applyAlignment="1" applyProtection="1">
      <alignment horizontal="center" vertical="center" wrapText="1"/>
      <protection hidden="1"/>
    </xf>
    <xf numFmtId="0" fontId="7" fillId="7" borderId="12" xfId="0" applyFont="1" applyFill="1" applyBorder="1" applyAlignment="1" applyProtection="1">
      <alignment horizontal="center" vertical="center" wrapText="1"/>
      <protection hidden="1"/>
    </xf>
    <xf numFmtId="0" fontId="7" fillId="7" borderId="20" xfId="0" applyFont="1" applyFill="1" applyBorder="1" applyAlignment="1" applyProtection="1">
      <alignment horizontal="center" vertical="center" wrapText="1"/>
      <protection hidden="1"/>
    </xf>
    <xf numFmtId="49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/>
      <protection hidden="1"/>
    </xf>
    <xf numFmtId="0" fontId="8" fillId="0" borderId="28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51" fillId="19" borderId="9" xfId="0" applyFont="1" applyFill="1" applyBorder="1" applyAlignment="1" applyProtection="1">
      <alignment horizontal="center" vertical="center" wrapText="1"/>
      <protection hidden="1"/>
    </xf>
    <xf numFmtId="0" fontId="51" fillId="19" borderId="6" xfId="0" applyFont="1" applyFill="1" applyBorder="1" applyAlignment="1" applyProtection="1">
      <alignment horizontal="center" vertical="center" wrapText="1"/>
      <protection hidden="1"/>
    </xf>
    <xf numFmtId="0" fontId="53" fillId="19" borderId="57" xfId="0" applyFont="1" applyFill="1" applyBorder="1" applyAlignment="1" applyProtection="1">
      <alignment horizontal="center" vertical="center"/>
      <protection hidden="1"/>
    </xf>
    <xf numFmtId="0" fontId="53" fillId="19" borderId="7" xfId="0" applyFont="1" applyFill="1" applyBorder="1" applyAlignment="1" applyProtection="1">
      <alignment horizontal="center" vertical="center"/>
      <protection hidden="1"/>
    </xf>
    <xf numFmtId="0" fontId="53" fillId="19" borderId="13" xfId="0" applyFont="1" applyFill="1" applyBorder="1" applyAlignment="1" applyProtection="1">
      <alignment horizontal="center" vertical="center"/>
      <protection hidden="1"/>
    </xf>
    <xf numFmtId="0" fontId="53" fillId="19" borderId="39" xfId="0" applyFont="1" applyFill="1" applyBorder="1" applyAlignment="1" applyProtection="1">
      <alignment horizontal="center" vertical="center"/>
      <protection hidden="1"/>
    </xf>
    <xf numFmtId="0" fontId="53" fillId="19" borderId="12" xfId="0" applyFont="1" applyFill="1" applyBorder="1" applyAlignment="1" applyProtection="1">
      <alignment horizontal="center" vertical="center"/>
      <protection hidden="1"/>
    </xf>
    <xf numFmtId="0" fontId="53" fillId="19" borderId="20" xfId="0" applyFont="1" applyFill="1" applyBorder="1" applyAlignment="1" applyProtection="1">
      <alignment horizontal="center" vertical="center"/>
      <protection hidden="1"/>
    </xf>
    <xf numFmtId="0" fontId="54" fillId="0" borderId="1" xfId="0" applyFont="1" applyBorder="1" applyAlignment="1">
      <alignment horizontal="center"/>
    </xf>
    <xf numFmtId="0" fontId="55" fillId="0" borderId="1" xfId="0" applyFont="1" applyBorder="1" applyAlignment="1">
      <alignment horizontal="left"/>
    </xf>
    <xf numFmtId="0" fontId="9" fillId="4" borderId="57" xfId="0" applyFont="1" applyFill="1" applyBorder="1" applyAlignment="1" applyProtection="1">
      <alignment horizontal="center" vertical="center"/>
      <protection hidden="1"/>
    </xf>
    <xf numFmtId="0" fontId="9" fillId="4" borderId="7" xfId="0" applyFont="1" applyFill="1" applyBorder="1" applyAlignment="1" applyProtection="1">
      <alignment horizontal="center" vertical="center"/>
      <protection hidden="1"/>
    </xf>
    <xf numFmtId="0" fontId="9" fillId="4" borderId="58" xfId="0" applyFont="1" applyFill="1" applyBorder="1" applyAlignment="1" applyProtection="1">
      <alignment horizontal="center" vertical="center"/>
      <protection hidden="1"/>
    </xf>
    <xf numFmtId="0" fontId="54" fillId="0" borderId="40" xfId="0" applyFont="1" applyBorder="1" applyAlignment="1">
      <alignment horizontal="center"/>
    </xf>
    <xf numFmtId="0" fontId="54" fillId="0" borderId="41" xfId="0" applyFont="1" applyBorder="1" applyAlignment="1">
      <alignment horizontal="center"/>
    </xf>
    <xf numFmtId="0" fontId="54" fillId="0" borderId="42" xfId="0" applyFont="1" applyBorder="1" applyAlignment="1">
      <alignment horizontal="center"/>
    </xf>
    <xf numFmtId="0" fontId="55" fillId="0" borderId="5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55" fillId="0" borderId="1" xfId="0" applyFont="1" applyBorder="1" applyAlignment="1">
      <alignment horizontal="left" wrapText="1"/>
    </xf>
    <xf numFmtId="3" fontId="8" fillId="0" borderId="14" xfId="0" applyNumberFormat="1" applyFont="1" applyFill="1" applyBorder="1" applyAlignment="1" applyProtection="1">
      <alignment horizontal="center" vertical="center"/>
      <protection hidden="1"/>
    </xf>
    <xf numFmtId="3" fontId="8" fillId="0" borderId="17" xfId="0" applyNumberFormat="1" applyFont="1" applyFill="1" applyBorder="1" applyAlignment="1" applyProtection="1">
      <alignment horizontal="center" vertical="center"/>
      <protection hidden="1"/>
    </xf>
    <xf numFmtId="3" fontId="8" fillId="0" borderId="23" xfId="0" applyNumberFormat="1" applyFont="1" applyFill="1" applyBorder="1" applyAlignment="1" applyProtection="1">
      <alignment horizontal="center" vertical="center"/>
      <protection hidden="1"/>
    </xf>
    <xf numFmtId="3" fontId="8" fillId="0" borderId="15" xfId="0" applyNumberFormat="1" applyFont="1" applyFill="1" applyBorder="1" applyAlignment="1" applyProtection="1">
      <alignment horizontal="center" vertical="center"/>
      <protection hidden="1"/>
    </xf>
    <xf numFmtId="3" fontId="8" fillId="0" borderId="18" xfId="0" applyNumberFormat="1" applyFont="1" applyFill="1" applyBorder="1" applyAlignment="1" applyProtection="1">
      <alignment horizontal="center" vertical="center"/>
      <protection hidden="1"/>
    </xf>
    <xf numFmtId="3" fontId="8" fillId="0" borderId="24" xfId="0" applyNumberFormat="1" applyFont="1" applyFill="1" applyBorder="1" applyAlignment="1" applyProtection="1">
      <alignment horizontal="center" vertical="center"/>
      <protection hidden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9" fillId="4" borderId="40" xfId="0" applyFont="1" applyFill="1" applyBorder="1" applyAlignment="1" applyProtection="1">
      <alignment horizontal="center" vertical="center"/>
      <protection hidden="1"/>
    </xf>
    <xf numFmtId="0" fontId="9" fillId="4" borderId="41" xfId="0" applyFont="1" applyFill="1" applyBorder="1" applyAlignment="1" applyProtection="1">
      <alignment horizontal="center" vertical="center"/>
      <protection hidden="1"/>
    </xf>
    <xf numFmtId="0" fontId="9" fillId="4" borderId="42" xfId="0" applyFont="1" applyFill="1" applyBorder="1" applyAlignment="1" applyProtection="1">
      <alignment horizontal="center" vertical="center"/>
      <protection hidden="1"/>
    </xf>
    <xf numFmtId="0" fontId="54" fillId="0" borderId="2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4" fillId="0" borderId="1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54" fillId="0" borderId="40" xfId="0" applyFont="1" applyBorder="1" applyAlignment="1">
      <alignment horizontal="center" wrapText="1"/>
    </xf>
    <xf numFmtId="0" fontId="54" fillId="0" borderId="41" xfId="0" applyFont="1" applyBorder="1" applyAlignment="1">
      <alignment horizontal="center" wrapText="1"/>
    </xf>
    <xf numFmtId="0" fontId="54" fillId="0" borderId="42" xfId="0" applyFont="1" applyBorder="1" applyAlignment="1">
      <alignment horizontal="center" wrapText="1"/>
    </xf>
    <xf numFmtId="0" fontId="0" fillId="0" borderId="40" xfId="0" applyBorder="1" applyAlignment="1">
      <alignment horizontal="left"/>
    </xf>
    <xf numFmtId="0" fontId="0" fillId="0" borderId="41" xfId="0" applyBorder="1" applyAlignment="1">
      <alignment horizontal="left"/>
    </xf>
    <xf numFmtId="0" fontId="0" fillId="0" borderId="42" xfId="0" applyBorder="1" applyAlignment="1">
      <alignment horizontal="left"/>
    </xf>
    <xf numFmtId="0" fontId="9" fillId="0" borderId="14" xfId="0" applyFont="1" applyFill="1" applyBorder="1" applyAlignment="1" applyProtection="1">
      <alignment horizontal="center" vertical="center"/>
      <protection hidden="1"/>
    </xf>
    <xf numFmtId="0" fontId="9" fillId="0" borderId="15" xfId="0" applyFont="1" applyFill="1" applyBorder="1" applyAlignment="1" applyProtection="1">
      <alignment horizontal="center" vertical="center"/>
      <protection hidden="1"/>
    </xf>
    <xf numFmtId="0" fontId="9" fillId="0" borderId="17" xfId="0" applyFont="1" applyFill="1" applyBorder="1" applyAlignment="1" applyProtection="1">
      <alignment horizontal="center" vertical="center"/>
      <protection hidden="1"/>
    </xf>
    <xf numFmtId="0" fontId="9" fillId="0" borderId="18" xfId="0" applyFont="1" applyFill="1" applyBorder="1" applyAlignment="1" applyProtection="1">
      <alignment horizontal="center" vertical="center"/>
      <protection hidden="1"/>
    </xf>
    <xf numFmtId="0" fontId="9" fillId="0" borderId="23" xfId="0" applyFont="1" applyFill="1" applyBorder="1" applyAlignment="1" applyProtection="1">
      <alignment horizontal="center" vertical="center"/>
      <protection hidden="1"/>
    </xf>
    <xf numFmtId="0" fontId="9" fillId="0" borderId="24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28" xfId="0" applyBorder="1" applyAlignment="1">
      <alignment horizontal="left"/>
    </xf>
    <xf numFmtId="0" fontId="0" fillId="5" borderId="45" xfId="0" applyFill="1" applyBorder="1" applyAlignment="1">
      <alignment horizontal="center" vertical="center" wrapText="1"/>
    </xf>
    <xf numFmtId="0" fontId="0" fillId="5" borderId="26" xfId="0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0" fontId="0" fillId="5" borderId="45" xfId="0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14" fontId="0" fillId="5" borderId="45" xfId="0" applyNumberFormat="1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14" fontId="0" fillId="5" borderId="27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</cellXfs>
  <cellStyles count="6">
    <cellStyle name="Гиперссылка" xfId="2" builtinId="8"/>
    <cellStyle name="Гиперссылка 2" xfId="4"/>
    <cellStyle name="Денежный 2" xfId="5"/>
    <cellStyle name="Обычный" xfId="0" builtinId="0"/>
    <cellStyle name="Обычный 2" xfId="1"/>
    <cellStyle name="Обычный 3" xfId="3"/>
  </cellStyles>
  <dxfs count="2"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1"/>
      <tableStyleElement type="firstRowStripe" dxfId="0"/>
    </tableStyle>
  </tableStyles>
  <colors>
    <mruColors>
      <color rgb="FFFF9933"/>
      <color rgb="FFFF6600"/>
      <color rgb="FFFFFF00"/>
      <color rgb="FFAD78BE"/>
      <color rgb="FFCC0099"/>
      <color rgb="FFFF3300"/>
      <color rgb="FFFFCC00"/>
      <color rgb="FFCC3300"/>
      <color rgb="FF99660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hyperlink" Target="#'&#1058;&#1086;&#1074;&#1072;&#1088;&#1099; &#1076;&#1083;&#1103; &#1076;&#1072;&#1095;&#1080; &#1080; &#1086;&#1090;&#1076;&#1099;&#1093;&#1072;'!A11"/><Relationship Id="rId26" Type="http://schemas.openxmlformats.org/officeDocument/2006/relationships/hyperlink" Target="#' &#1050;&#1086;&#1090;&#1083;&#1099; &#1058;&#1058;'!A22"/><Relationship Id="rId39" Type="http://schemas.openxmlformats.org/officeDocument/2006/relationships/image" Target="../media/image20.jpeg"/><Relationship Id="rId21" Type="http://schemas.openxmlformats.org/officeDocument/2006/relationships/image" Target="../media/image11.jpeg"/><Relationship Id="rId34" Type="http://schemas.openxmlformats.org/officeDocument/2006/relationships/hyperlink" Target="#'&#1050;&#1086;&#1084;&#1087;&#1083;&#1077;&#1082;&#1090;&#1091;&#1102;&#1097;&#1080;&#1077; '!A23"/><Relationship Id="rId42" Type="http://schemas.openxmlformats.org/officeDocument/2006/relationships/hyperlink" Target="#' &#1050;&#1086;&#1090;&#1083;&#1099; &#1058;&#1058;'!A11"/><Relationship Id="rId47" Type="http://schemas.openxmlformats.org/officeDocument/2006/relationships/image" Target="../media/image24.png"/><Relationship Id="rId50" Type="http://schemas.openxmlformats.org/officeDocument/2006/relationships/hyperlink" Target="#'&#1058;&#1086;&#1074;&#1072;&#1088;&#1099; &#1076;&#1083;&#1103; &#1076;&#1072;&#1095;&#1080; &#1080; &#1086;&#1090;&#1076;&#1099;&#1093;&#1072;'!A26"/><Relationship Id="rId55" Type="http://schemas.openxmlformats.org/officeDocument/2006/relationships/hyperlink" Target="#' &#1050;&#1086;&#1090;&#1083;&#1099; &#1058;&#1058;'!A14"/><Relationship Id="rId63" Type="http://schemas.openxmlformats.org/officeDocument/2006/relationships/hyperlink" Target="#'&#1050;&#1086;&#1084;&#1087;&#1083;&#1077;&#1082;&#1090;&#1091;&#1102;&#1097;&#1080;&#1077; '!A48"/><Relationship Id="rId7" Type="http://schemas.openxmlformats.org/officeDocument/2006/relationships/hyperlink" Target="#'&#1055;&#1077;&#1095;&#1080; &#1073;&#1072;&#1085;&#1085;&#1099;&#1077;, &#1086;&#1090;&#1086;&#1087;&#1080;&#1090;&#1077;&#1083;&#1100;&#1085;&#1099;&#1077;'!A16"/><Relationship Id="rId2" Type="http://schemas.openxmlformats.org/officeDocument/2006/relationships/image" Target="../media/image1.jpeg"/><Relationship Id="rId16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12"/><Relationship Id="rId20" Type="http://schemas.openxmlformats.org/officeDocument/2006/relationships/hyperlink" Target="#'&#1055;&#1088;&#1086;&#1095;&#1072;&#1103; &#1087;&#1088;&#1086;&#1076;&#1091;&#1082;&#1094;&#1080;&#1103;'!A23"/><Relationship Id="rId29" Type="http://schemas.openxmlformats.org/officeDocument/2006/relationships/image" Target="../media/image15.jpeg"/><Relationship Id="rId41" Type="http://schemas.openxmlformats.org/officeDocument/2006/relationships/image" Target="../media/image21.png"/><Relationship Id="rId54" Type="http://schemas.openxmlformats.org/officeDocument/2006/relationships/image" Target="../media/image28.png"/><Relationship Id="rId62" Type="http://schemas.openxmlformats.org/officeDocument/2006/relationships/image" Target="../media/image33.png"/><Relationship Id="rId1" Type="http://schemas.openxmlformats.org/officeDocument/2006/relationships/hyperlink" Target="#'&#1050;&#1086;&#1084;&#1087;&#1083;&#1077;&#1082;&#1090;&#1091;&#1102;&#1097;&#1080;&#1077; '!A26"/><Relationship Id="rId6" Type="http://schemas.openxmlformats.org/officeDocument/2006/relationships/image" Target="../media/image3.jpeg"/><Relationship Id="rId11" Type="http://schemas.openxmlformats.org/officeDocument/2006/relationships/image" Target="../media/image6.jpeg"/><Relationship Id="rId24" Type="http://schemas.openxmlformats.org/officeDocument/2006/relationships/hyperlink" Target="#'&#1058;&#1086;&#1074;&#1072;&#1088;&#1099; &#1076;&#1083;&#1103; &#1076;&#1072;&#1095;&#1080; &#1080; &#1086;&#1090;&#1076;&#1099;&#1093;&#1072;'!A17"/><Relationship Id="rId32" Type="http://schemas.openxmlformats.org/officeDocument/2006/relationships/hyperlink" Target="#'&#1050;&#1086;&#1084;&#1087;&#1083;&#1077;&#1082;&#1090;&#1091;&#1102;&#1097;&#1080;&#1077; '!A15"/><Relationship Id="rId37" Type="http://schemas.openxmlformats.org/officeDocument/2006/relationships/image" Target="../media/image19.png"/><Relationship Id="rId40" Type="http://schemas.openxmlformats.org/officeDocument/2006/relationships/hyperlink" Target="#'&#1055;&#1077;&#1095;&#1080; &#1073;&#1072;&#1085;&#1085;&#1099;&#1077;, &#1086;&#1090;&#1086;&#1087;&#1080;&#1090;&#1077;&#1083;&#1100;&#1085;&#1099;&#1077;'!A12"/><Relationship Id="rId45" Type="http://schemas.openxmlformats.org/officeDocument/2006/relationships/image" Target="../media/image23.png"/><Relationship Id="rId53" Type="http://schemas.openxmlformats.org/officeDocument/2006/relationships/image" Target="../media/image27.png"/><Relationship Id="rId58" Type="http://schemas.openxmlformats.org/officeDocument/2006/relationships/image" Target="../media/image31.png"/><Relationship Id="rId5" Type="http://schemas.openxmlformats.org/officeDocument/2006/relationships/hyperlink" Target="#'&#1055;&#1077;&#1095;&#1080; &#1073;&#1072;&#1085;&#1085;&#1099;&#1077;, &#1086;&#1090;&#1086;&#1087;&#1080;&#1090;&#1077;&#1083;&#1100;&#1085;&#1099;&#1077;'!A14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hyperlink" Target="#'&#1050;&#1086;&#1084;&#1087;&#1083;&#1077;&#1082;&#1090;&#1091;&#1102;&#1097;&#1080;&#1077; '!A12"/><Relationship Id="rId36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86"/><Relationship Id="rId49" Type="http://schemas.openxmlformats.org/officeDocument/2006/relationships/image" Target="../media/image25.png"/><Relationship Id="rId57" Type="http://schemas.openxmlformats.org/officeDocument/2006/relationships/image" Target="../media/image30.png"/><Relationship Id="rId61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50"/><Relationship Id="rId10" Type="http://schemas.openxmlformats.org/officeDocument/2006/relationships/image" Target="../media/image5.jpeg"/><Relationship Id="rId19" Type="http://schemas.openxmlformats.org/officeDocument/2006/relationships/image" Target="../media/image10.jpeg"/><Relationship Id="rId31" Type="http://schemas.openxmlformats.org/officeDocument/2006/relationships/image" Target="../media/image16.jpeg"/><Relationship Id="rId44" Type="http://schemas.openxmlformats.org/officeDocument/2006/relationships/hyperlink" Target="#&#1054;&#1075;&#1083;&#1072;&#1074;&#1083;&#1077;&#1085;&#1080;&#1077;!A28"/><Relationship Id="rId52" Type="http://schemas.openxmlformats.org/officeDocument/2006/relationships/hyperlink" Target="#'&#1058;&#1086;&#1074;&#1072;&#1088;&#1099; &#1076;&#1083;&#1103; &#1076;&#1072;&#1095;&#1080; &#1080; &#1086;&#1090;&#1076;&#1099;&#1093;&#1072;'!A27"/><Relationship Id="rId60" Type="http://schemas.openxmlformats.org/officeDocument/2006/relationships/image" Target="../media/image32.png"/><Relationship Id="rId4" Type="http://schemas.openxmlformats.org/officeDocument/2006/relationships/image" Target="../media/image2.jpeg"/><Relationship Id="rId9" Type="http://schemas.openxmlformats.org/officeDocument/2006/relationships/hyperlink" Target="#'&#1050;&#1086;&#1090;&#1083;&#1099; &#1075;&#1072;&#1079;&#1086;&#1074;&#1099;&#1077;'!A1"/><Relationship Id="rId14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98"/><Relationship Id="rId22" Type="http://schemas.openxmlformats.org/officeDocument/2006/relationships/hyperlink" Target="#'&#1058;&#1086;&#1074;&#1072;&#1088;&#1099; &#1076;&#1083;&#1103; &#1076;&#1072;&#1095;&#1080; &#1080; &#1086;&#1090;&#1076;&#1099;&#1093;&#1072;'!A20"/><Relationship Id="rId27" Type="http://schemas.openxmlformats.org/officeDocument/2006/relationships/image" Target="../media/image14.png"/><Relationship Id="rId30" Type="http://schemas.openxmlformats.org/officeDocument/2006/relationships/hyperlink" Target="#'&#1050;&#1086;&#1084;&#1087;&#1083;&#1077;&#1082;&#1090;&#1091;&#1102;&#1097;&#1080;&#1077; '!A16"/><Relationship Id="rId35" Type="http://schemas.openxmlformats.org/officeDocument/2006/relationships/image" Target="../media/image18.jpeg"/><Relationship Id="rId43" Type="http://schemas.openxmlformats.org/officeDocument/2006/relationships/image" Target="../media/image22.png"/><Relationship Id="rId48" Type="http://schemas.openxmlformats.org/officeDocument/2006/relationships/hyperlink" Target="#' &#1050;&#1086;&#1090;&#1083;&#1099; &#1058;&#1058;'!A20"/><Relationship Id="rId56" Type="http://schemas.openxmlformats.org/officeDocument/2006/relationships/image" Target="../media/image29.png"/><Relationship Id="rId64" Type="http://schemas.openxmlformats.org/officeDocument/2006/relationships/image" Target="../media/image34.png"/><Relationship Id="rId8" Type="http://schemas.openxmlformats.org/officeDocument/2006/relationships/image" Target="../media/image4.jpeg"/><Relationship Id="rId51" Type="http://schemas.openxmlformats.org/officeDocument/2006/relationships/image" Target="../media/image26.png"/><Relationship Id="rId3" Type="http://schemas.openxmlformats.org/officeDocument/2006/relationships/hyperlink" Target="#'&#1050;&#1086;&#1084;&#1087;&#1083;&#1077;&#1082;&#1090;&#1091;&#1102;&#1097;&#1080;&#1077; '!A34"/><Relationship Id="rId12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51"/><Relationship Id="rId17" Type="http://schemas.openxmlformats.org/officeDocument/2006/relationships/image" Target="../media/image9.jpe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'&#1058;&#1086;&#1074;&#1072;&#1088;&#1099; &#1076;&#1083;&#1103; &#1076;&#1072;&#1095;&#1080; &#1080; &#1086;&#1090;&#1076;&#1099;&#1093;&#1072;'!A29"/><Relationship Id="rId46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22"/><Relationship Id="rId59" Type="http://schemas.openxmlformats.org/officeDocument/2006/relationships/hyperlink" Target="#' &#1050;&#1086;&#1090;&#1083;&#1099; &#1058;&#1058;'!A29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28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5" Type="http://schemas.openxmlformats.org/officeDocument/2006/relationships/image" Target="../media/image39.png"/><Relationship Id="rId10" Type="http://schemas.openxmlformats.org/officeDocument/2006/relationships/image" Target="../media/image44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575637</xdr:colOff>
      <xdr:row>17</xdr:row>
      <xdr:rowOff>129779</xdr:rowOff>
    </xdr:from>
    <xdr:to>
      <xdr:col>7</xdr:col>
      <xdr:colOff>147657</xdr:colOff>
      <xdr:row>21</xdr:row>
      <xdr:rowOff>182870</xdr:rowOff>
    </xdr:to>
    <xdr:pic>
      <xdr:nvPicPr>
        <xdr:cNvPr id="12" name="Рисунок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512" y="3172487"/>
          <a:ext cx="820853" cy="793925"/>
        </a:xfrm>
        <a:prstGeom prst="rect">
          <a:avLst/>
        </a:prstGeom>
      </xdr:spPr>
    </xdr:pic>
    <xdr:clientData/>
  </xdr:twoCellAnchor>
  <xdr:twoCellAnchor editAs="oneCell">
    <xdr:from>
      <xdr:col>7</xdr:col>
      <xdr:colOff>458975</xdr:colOff>
      <xdr:row>17</xdr:row>
      <xdr:rowOff>71197</xdr:rowOff>
    </xdr:from>
    <xdr:to>
      <xdr:col>9</xdr:col>
      <xdr:colOff>253922</xdr:colOff>
      <xdr:row>21</xdr:row>
      <xdr:rowOff>52288</xdr:rowOff>
    </xdr:to>
    <xdr:pic>
      <xdr:nvPicPr>
        <xdr:cNvPr id="14" name="Рисунок 1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683" y="3113905"/>
          <a:ext cx="805656" cy="721925"/>
        </a:xfrm>
        <a:prstGeom prst="rect">
          <a:avLst/>
        </a:prstGeom>
      </xdr:spPr>
    </xdr:pic>
    <xdr:clientData/>
  </xdr:twoCellAnchor>
  <xdr:twoCellAnchor editAs="oneCell">
    <xdr:from>
      <xdr:col>4</xdr:col>
      <xdr:colOff>420255</xdr:colOff>
      <xdr:row>25</xdr:row>
      <xdr:rowOff>75623</xdr:rowOff>
    </xdr:from>
    <xdr:to>
      <xdr:col>5</xdr:col>
      <xdr:colOff>551142</xdr:colOff>
      <xdr:row>29</xdr:row>
      <xdr:rowOff>164714</xdr:rowOff>
    </xdr:to>
    <xdr:pic>
      <xdr:nvPicPr>
        <xdr:cNvPr id="18" name="Рисунок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891" y="4434032"/>
          <a:ext cx="806296" cy="828000"/>
        </a:xfrm>
        <a:prstGeom prst="rect">
          <a:avLst/>
        </a:prstGeom>
      </xdr:spPr>
    </xdr:pic>
    <xdr:clientData/>
  </xdr:twoCellAnchor>
  <xdr:twoCellAnchor editAs="oneCell">
    <xdr:from>
      <xdr:col>7</xdr:col>
      <xdr:colOff>464704</xdr:colOff>
      <xdr:row>25</xdr:row>
      <xdr:rowOff>47912</xdr:rowOff>
    </xdr:from>
    <xdr:to>
      <xdr:col>9</xdr:col>
      <xdr:colOff>801172</xdr:colOff>
      <xdr:row>30</xdr:row>
      <xdr:rowOff>24276</xdr:rowOff>
    </xdr:to>
    <xdr:pic>
      <xdr:nvPicPr>
        <xdr:cNvPr id="21" name="Рисунок 2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1568" y="4406321"/>
          <a:ext cx="132360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33</xdr:row>
      <xdr:rowOff>114300</xdr:rowOff>
    </xdr:from>
    <xdr:to>
      <xdr:col>2</xdr:col>
      <xdr:colOff>465666</xdr:colOff>
      <xdr:row>38</xdr:row>
      <xdr:rowOff>93551</xdr:rowOff>
    </xdr:to>
    <xdr:pic>
      <xdr:nvPicPr>
        <xdr:cNvPr id="22" name="Рисунок 21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5772150"/>
          <a:ext cx="1322915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146051</xdr:colOff>
      <xdr:row>33</xdr:row>
      <xdr:rowOff>88900</xdr:rowOff>
    </xdr:from>
    <xdr:to>
      <xdr:col>6</xdr:col>
      <xdr:colOff>186266</xdr:colOff>
      <xdr:row>38</xdr:row>
      <xdr:rowOff>68151</xdr:rowOff>
    </xdr:to>
    <xdr:pic>
      <xdr:nvPicPr>
        <xdr:cNvPr id="23" name="Рисунок 2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1" y="6242050"/>
          <a:ext cx="1348315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13832</xdr:colOff>
      <xdr:row>43</xdr:row>
      <xdr:rowOff>180634</xdr:rowOff>
    </xdr:from>
    <xdr:to>
      <xdr:col>7</xdr:col>
      <xdr:colOff>145416</xdr:colOff>
      <xdr:row>46</xdr:row>
      <xdr:rowOff>8816</xdr:rowOff>
    </xdr:to>
    <xdr:pic>
      <xdr:nvPicPr>
        <xdr:cNvPr id="29" name="Рисунок 28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15220" y="7355246"/>
          <a:ext cx="383807" cy="756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386195</xdr:colOff>
      <xdr:row>41</xdr:row>
      <xdr:rowOff>63499</xdr:rowOff>
    </xdr:from>
    <xdr:to>
      <xdr:col>9</xdr:col>
      <xdr:colOff>1354065</xdr:colOff>
      <xdr:row>46</xdr:row>
      <xdr:rowOff>42749</xdr:rowOff>
    </xdr:to>
    <xdr:pic>
      <xdr:nvPicPr>
        <xdr:cNvPr id="30" name="Рисунок 2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0195" y="7048499"/>
          <a:ext cx="967870" cy="90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39255</xdr:colOff>
      <xdr:row>41</xdr:row>
      <xdr:rowOff>23090</xdr:rowOff>
    </xdr:from>
    <xdr:to>
      <xdr:col>1</xdr:col>
      <xdr:colOff>392546</xdr:colOff>
      <xdr:row>46</xdr:row>
      <xdr:rowOff>8322</xdr:rowOff>
    </xdr:to>
    <xdr:pic>
      <xdr:nvPicPr>
        <xdr:cNvPr id="33" name="Рисунок 32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5" y="7008090"/>
          <a:ext cx="965200" cy="908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98136</xdr:rowOff>
    </xdr:from>
    <xdr:to>
      <xdr:col>2</xdr:col>
      <xdr:colOff>6385</xdr:colOff>
      <xdr:row>54</xdr:row>
      <xdr:rowOff>11545</xdr:rowOff>
    </xdr:to>
    <xdr:pic>
      <xdr:nvPicPr>
        <xdr:cNvPr id="36" name="Рисунок 3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58909"/>
          <a:ext cx="1224430" cy="837045"/>
        </a:xfrm>
        <a:prstGeom prst="rect">
          <a:avLst/>
        </a:prstGeom>
      </xdr:spPr>
    </xdr:pic>
    <xdr:clientData/>
  </xdr:twoCellAnchor>
  <xdr:twoCellAnchor editAs="oneCell">
    <xdr:from>
      <xdr:col>6</xdr:col>
      <xdr:colOff>439882</xdr:colOff>
      <xdr:row>49</xdr:row>
      <xdr:rowOff>36369</xdr:rowOff>
    </xdr:from>
    <xdr:to>
      <xdr:col>7</xdr:col>
      <xdr:colOff>418582</xdr:colOff>
      <xdr:row>54</xdr:row>
      <xdr:rowOff>15620</xdr:rowOff>
    </xdr:to>
    <xdr:pic>
      <xdr:nvPicPr>
        <xdr:cNvPr id="39" name="Рисунок 38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4837" y="8308687"/>
          <a:ext cx="590609" cy="902887"/>
        </a:xfrm>
        <a:prstGeom prst="rect">
          <a:avLst/>
        </a:prstGeom>
      </xdr:spPr>
    </xdr:pic>
    <xdr:clientData/>
  </xdr:twoCellAnchor>
  <xdr:twoCellAnchor editAs="oneCell">
    <xdr:from>
      <xdr:col>7</xdr:col>
      <xdr:colOff>364259</xdr:colOff>
      <xdr:row>49</xdr:row>
      <xdr:rowOff>114749</xdr:rowOff>
    </xdr:from>
    <xdr:to>
      <xdr:col>9</xdr:col>
      <xdr:colOff>617683</xdr:colOff>
      <xdr:row>54</xdr:row>
      <xdr:rowOff>35204</xdr:rowOff>
    </xdr:to>
    <xdr:pic>
      <xdr:nvPicPr>
        <xdr:cNvPr id="40" name="Рисунок 39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1123" y="8387067"/>
          <a:ext cx="1240560" cy="844091"/>
        </a:xfrm>
        <a:prstGeom prst="rect">
          <a:avLst/>
        </a:prstGeom>
      </xdr:spPr>
    </xdr:pic>
    <xdr:clientData/>
  </xdr:twoCellAnchor>
  <xdr:twoCellAnchor editAs="oneCell">
    <xdr:from>
      <xdr:col>5</xdr:col>
      <xdr:colOff>438729</xdr:colOff>
      <xdr:row>50</xdr:row>
      <xdr:rowOff>77450</xdr:rowOff>
    </xdr:from>
    <xdr:to>
      <xdr:col>6</xdr:col>
      <xdr:colOff>419296</xdr:colOff>
      <xdr:row>53</xdr:row>
      <xdr:rowOff>133825</xdr:rowOff>
    </xdr:to>
    <xdr:pic>
      <xdr:nvPicPr>
        <xdr:cNvPr id="43" name="Рисунок 42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604" y="8544117"/>
          <a:ext cx="604984" cy="612000"/>
        </a:xfrm>
        <a:prstGeom prst="rect">
          <a:avLst/>
        </a:prstGeom>
      </xdr:spPr>
    </xdr:pic>
    <xdr:clientData/>
  </xdr:twoCellAnchor>
  <xdr:twoCellAnchor editAs="oneCell">
    <xdr:from>
      <xdr:col>7</xdr:col>
      <xdr:colOff>568229</xdr:colOff>
      <xdr:row>9</xdr:row>
      <xdr:rowOff>108526</xdr:rowOff>
    </xdr:from>
    <xdr:to>
      <xdr:col>9</xdr:col>
      <xdr:colOff>480811</xdr:colOff>
      <xdr:row>14</xdr:row>
      <xdr:rowOff>84127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179" y="1664276"/>
          <a:ext cx="922232" cy="896351"/>
        </a:xfrm>
        <a:prstGeom prst="rect">
          <a:avLst/>
        </a:prstGeom>
      </xdr:spPr>
    </xdr:pic>
    <xdr:clientData/>
  </xdr:twoCellAnchor>
  <xdr:twoCellAnchor editAs="oneCell">
    <xdr:from>
      <xdr:col>0</xdr:col>
      <xdr:colOff>132772</xdr:colOff>
      <xdr:row>17</xdr:row>
      <xdr:rowOff>138545</xdr:rowOff>
    </xdr:from>
    <xdr:to>
      <xdr:col>0</xdr:col>
      <xdr:colOff>460538</xdr:colOff>
      <xdr:row>20</xdr:row>
      <xdr:rowOff>124364</xdr:rowOff>
    </xdr:to>
    <xdr:pic>
      <xdr:nvPicPr>
        <xdr:cNvPr id="42" name="Рисунок 41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72" y="3192318"/>
          <a:ext cx="32776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344441</xdr:colOff>
      <xdr:row>18</xdr:row>
      <xdr:rowOff>100060</xdr:rowOff>
    </xdr:from>
    <xdr:to>
      <xdr:col>3</xdr:col>
      <xdr:colOff>152024</xdr:colOff>
      <xdr:row>20</xdr:row>
      <xdr:rowOff>162606</xdr:rowOff>
    </xdr:to>
    <xdr:pic>
      <xdr:nvPicPr>
        <xdr:cNvPr id="20" name="Рисунок 19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74" y="3327977"/>
          <a:ext cx="432000" cy="432962"/>
        </a:xfrm>
        <a:prstGeom prst="rect">
          <a:avLst/>
        </a:prstGeom>
      </xdr:spPr>
    </xdr:pic>
    <xdr:clientData/>
  </xdr:twoCellAnchor>
  <xdr:twoCellAnchor editAs="oneCell">
    <xdr:from>
      <xdr:col>1</xdr:col>
      <xdr:colOff>173662</xdr:colOff>
      <xdr:row>18</xdr:row>
      <xdr:rowOff>127000</xdr:rowOff>
    </xdr:from>
    <xdr:to>
      <xdr:col>1</xdr:col>
      <xdr:colOff>605662</xdr:colOff>
      <xdr:row>21</xdr:row>
      <xdr:rowOff>4337</xdr:rowOff>
    </xdr:to>
    <xdr:pic>
      <xdr:nvPicPr>
        <xdr:cNvPr id="24" name="Рисунок 23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079" y="3354917"/>
          <a:ext cx="432000" cy="432962"/>
        </a:xfrm>
        <a:prstGeom prst="rect">
          <a:avLst/>
        </a:prstGeom>
      </xdr:spPr>
    </xdr:pic>
    <xdr:clientData/>
  </xdr:twoCellAnchor>
  <xdr:twoCellAnchor editAs="oneCell">
    <xdr:from>
      <xdr:col>3</xdr:col>
      <xdr:colOff>573905</xdr:colOff>
      <xdr:row>18</xdr:row>
      <xdr:rowOff>110644</xdr:rowOff>
    </xdr:from>
    <xdr:to>
      <xdr:col>5</xdr:col>
      <xdr:colOff>193972</xdr:colOff>
      <xdr:row>20</xdr:row>
      <xdr:rowOff>173190</xdr:rowOff>
    </xdr:to>
    <xdr:pic>
      <xdr:nvPicPr>
        <xdr:cNvPr id="26" name="Рисунок 25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55" y="3338561"/>
          <a:ext cx="937692" cy="432962"/>
        </a:xfrm>
        <a:prstGeom prst="rect">
          <a:avLst/>
        </a:prstGeom>
      </xdr:spPr>
    </xdr:pic>
    <xdr:clientData/>
  </xdr:twoCellAnchor>
  <xdr:twoCellAnchor editAs="oneCell">
    <xdr:from>
      <xdr:col>7</xdr:col>
      <xdr:colOff>526761</xdr:colOff>
      <xdr:row>42</xdr:row>
      <xdr:rowOff>117861</xdr:rowOff>
    </xdr:from>
    <xdr:to>
      <xdr:col>9</xdr:col>
      <xdr:colOff>146420</xdr:colOff>
      <xdr:row>45</xdr:row>
      <xdr:rowOff>174236</xdr:rowOff>
    </xdr:to>
    <xdr:pic>
      <xdr:nvPicPr>
        <xdr:cNvPr id="35" name="Рисунок 34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469" y="7293361"/>
          <a:ext cx="630368" cy="612000"/>
        </a:xfrm>
        <a:prstGeom prst="rect">
          <a:avLst/>
        </a:prstGeom>
      </xdr:spPr>
    </xdr:pic>
    <xdr:clientData/>
  </xdr:twoCellAnchor>
  <xdr:twoCellAnchor editAs="oneCell">
    <xdr:from>
      <xdr:col>9</xdr:col>
      <xdr:colOff>600365</xdr:colOff>
      <xdr:row>49</xdr:row>
      <xdr:rowOff>178956</xdr:rowOff>
    </xdr:from>
    <xdr:to>
      <xdr:col>9</xdr:col>
      <xdr:colOff>1382974</xdr:colOff>
      <xdr:row>53</xdr:row>
      <xdr:rowOff>160047</xdr:rowOff>
    </xdr:to>
    <xdr:pic>
      <xdr:nvPicPr>
        <xdr:cNvPr id="38" name="Рисунок 37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365" y="8451274"/>
          <a:ext cx="78260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488950</xdr:colOff>
      <xdr:row>25</xdr:row>
      <xdr:rowOff>76200</xdr:rowOff>
    </xdr:from>
    <xdr:to>
      <xdr:col>2</xdr:col>
      <xdr:colOff>144350</xdr:colOff>
      <xdr:row>30</xdr:row>
      <xdr:rowOff>55450</xdr:rowOff>
    </xdr:to>
    <xdr:pic>
      <xdr:nvPicPr>
        <xdr:cNvPr id="2" name="Рисунок 1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44069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133350</xdr:rowOff>
    </xdr:from>
    <xdr:to>
      <xdr:col>1</xdr:col>
      <xdr:colOff>332750</xdr:colOff>
      <xdr:row>14</xdr:row>
      <xdr:rowOff>148600</xdr:rowOff>
    </xdr:to>
    <xdr:pic>
      <xdr:nvPicPr>
        <xdr:cNvPr id="3" name="Рисунок 2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89100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455084</xdr:colOff>
      <xdr:row>39</xdr:row>
      <xdr:rowOff>179917</xdr:rowOff>
    </xdr:from>
    <xdr:to>
      <xdr:col>4</xdr:col>
      <xdr:colOff>286250</xdr:colOff>
      <xdr:row>46</xdr:row>
      <xdr:rowOff>122209</xdr:rowOff>
    </xdr:to>
    <xdr:pic>
      <xdr:nvPicPr>
        <xdr:cNvPr id="5" name="Рисунок 4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17" y="695854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111124</xdr:colOff>
      <xdr:row>40</xdr:row>
      <xdr:rowOff>5292</xdr:rowOff>
    </xdr:from>
    <xdr:to>
      <xdr:col>2</xdr:col>
      <xdr:colOff>566708</xdr:colOff>
      <xdr:row>46</xdr:row>
      <xdr:rowOff>132792</xdr:rowOff>
    </xdr:to>
    <xdr:pic>
      <xdr:nvPicPr>
        <xdr:cNvPr id="7" name="Рисунок 6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541" y="69691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599018</xdr:colOff>
      <xdr:row>9</xdr:row>
      <xdr:rowOff>63500</xdr:rowOff>
    </xdr:from>
    <xdr:to>
      <xdr:col>6</xdr:col>
      <xdr:colOff>223309</xdr:colOff>
      <xdr:row>14</xdr:row>
      <xdr:rowOff>79375</xdr:rowOff>
    </xdr:to>
    <xdr:pic>
      <xdr:nvPicPr>
        <xdr:cNvPr id="9" name="Рисунок 8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218" y="1619250"/>
          <a:ext cx="938741" cy="93662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50</xdr:row>
      <xdr:rowOff>74084</xdr:rowOff>
    </xdr:from>
    <xdr:to>
      <xdr:col>3</xdr:col>
      <xdr:colOff>254333</xdr:colOff>
      <xdr:row>54</xdr:row>
      <xdr:rowOff>53251</xdr:rowOff>
    </xdr:to>
    <xdr:pic>
      <xdr:nvPicPr>
        <xdr:cNvPr id="10" name="Рисунок 9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583" y="8540751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534459</xdr:colOff>
      <xdr:row>47</xdr:row>
      <xdr:rowOff>169333</xdr:rowOff>
    </xdr:from>
    <xdr:to>
      <xdr:col>5</xdr:col>
      <xdr:colOff>224834</xdr:colOff>
      <xdr:row>54</xdr:row>
      <xdr:rowOff>71375</xdr:rowOff>
    </xdr:to>
    <xdr:pic>
      <xdr:nvPicPr>
        <xdr:cNvPr id="11" name="Рисунок 10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709" y="8270875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0</xdr:row>
      <xdr:rowOff>50800</xdr:rowOff>
    </xdr:from>
    <xdr:to>
      <xdr:col>1</xdr:col>
      <xdr:colOff>256450</xdr:colOff>
      <xdr:row>3</xdr:row>
      <xdr:rowOff>110400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508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9</xdr:row>
      <xdr:rowOff>101600</xdr:rowOff>
    </xdr:from>
    <xdr:to>
      <xdr:col>3</xdr:col>
      <xdr:colOff>74500</xdr:colOff>
      <xdr:row>14</xdr:row>
      <xdr:rowOff>80850</xdr:rowOff>
    </xdr:to>
    <xdr:pic>
      <xdr:nvPicPr>
        <xdr:cNvPr id="6" name="Рисунок 5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165735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9</xdr:row>
      <xdr:rowOff>133350</xdr:rowOff>
    </xdr:from>
    <xdr:to>
      <xdr:col>4</xdr:col>
      <xdr:colOff>487250</xdr:colOff>
      <xdr:row>14</xdr:row>
      <xdr:rowOff>112600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" y="16891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215899</xdr:colOff>
      <xdr:row>9</xdr:row>
      <xdr:rowOff>76199</xdr:rowOff>
    </xdr:from>
    <xdr:to>
      <xdr:col>7</xdr:col>
      <xdr:colOff>493599</xdr:colOff>
      <xdr:row>14</xdr:row>
      <xdr:rowOff>55449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49" y="163194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444500</xdr:colOff>
      <xdr:row>9</xdr:row>
      <xdr:rowOff>31750</xdr:rowOff>
    </xdr:from>
    <xdr:to>
      <xdr:col>9</xdr:col>
      <xdr:colOff>1416500</xdr:colOff>
      <xdr:row>14</xdr:row>
      <xdr:rowOff>83000</xdr:rowOff>
    </xdr:to>
    <xdr:pic>
      <xdr:nvPicPr>
        <xdr:cNvPr id="4" name="Рисунок 3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9450" y="15875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42</xdr:row>
      <xdr:rowOff>114300</xdr:rowOff>
    </xdr:from>
    <xdr:to>
      <xdr:col>5</xdr:col>
      <xdr:colOff>453300</xdr:colOff>
      <xdr:row>46</xdr:row>
      <xdr:rowOff>97700</xdr:rowOff>
    </xdr:to>
    <xdr:pic>
      <xdr:nvPicPr>
        <xdr:cNvPr id="8" name="Рисунок 7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725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17</xdr:row>
      <xdr:rowOff>146050</xdr:rowOff>
    </xdr:from>
    <xdr:to>
      <xdr:col>9</xdr:col>
      <xdr:colOff>1367700</xdr:colOff>
      <xdr:row>21</xdr:row>
      <xdr:rowOff>129450</xdr:rowOff>
    </xdr:to>
    <xdr:pic>
      <xdr:nvPicPr>
        <xdr:cNvPr id="17" name="Рисунок 16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3175000"/>
          <a:ext cx="720000" cy="7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77582</xdr:colOff>
      <xdr:row>0</xdr:row>
      <xdr:rowOff>57149</xdr:rowOff>
    </xdr:from>
    <xdr:to>
      <xdr:col>0</xdr:col>
      <xdr:colOff>797582</xdr:colOff>
      <xdr:row>3</xdr:row>
      <xdr:rowOff>20671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82" y="57149"/>
          <a:ext cx="720000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0</xdr:rowOff>
    </xdr:from>
    <xdr:to>
      <xdr:col>0</xdr:col>
      <xdr:colOff>808900</xdr:colOff>
      <xdr:row>4</xdr:row>
      <xdr:rowOff>8800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0"/>
          <a:ext cx="720000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0</xdr:col>
      <xdr:colOff>796200</xdr:colOff>
      <xdr:row>3</xdr:row>
      <xdr:rowOff>72300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720000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0</xdr:col>
      <xdr:colOff>796200</xdr:colOff>
      <xdr:row>3</xdr:row>
      <xdr:rowOff>72300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720000" cy="7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0</xdr:col>
      <xdr:colOff>777150</xdr:colOff>
      <xdr:row>3</xdr:row>
      <xdr:rowOff>72300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0"/>
          <a:ext cx="720000" cy="7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0</xdr:rowOff>
    </xdr:from>
    <xdr:to>
      <xdr:col>0</xdr:col>
      <xdr:colOff>808900</xdr:colOff>
      <xdr:row>3</xdr:row>
      <xdr:rowOff>72300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0"/>
          <a:ext cx="720000" cy="72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0</xdr:rowOff>
    </xdr:from>
    <xdr:to>
      <xdr:col>0</xdr:col>
      <xdr:colOff>808900</xdr:colOff>
      <xdr:row>4</xdr:row>
      <xdr:rowOff>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77</xdr:row>
      <xdr:rowOff>50800</xdr:rowOff>
    </xdr:from>
    <xdr:to>
      <xdr:col>1</xdr:col>
      <xdr:colOff>758061</xdr:colOff>
      <xdr:row>88</xdr:row>
      <xdr:rowOff>177389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4662150"/>
          <a:ext cx="2116961" cy="215223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90</xdr:row>
      <xdr:rowOff>12700</xdr:rowOff>
    </xdr:from>
    <xdr:to>
      <xdr:col>2</xdr:col>
      <xdr:colOff>1000</xdr:colOff>
      <xdr:row>101</xdr:row>
      <xdr:rowOff>147050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70180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31750</xdr:rowOff>
    </xdr:from>
    <xdr:to>
      <xdr:col>1</xdr:col>
      <xdr:colOff>769350</xdr:colOff>
      <xdr:row>114</xdr:row>
      <xdr:rowOff>166100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10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50800</xdr:rowOff>
    </xdr:from>
    <xdr:to>
      <xdr:col>2</xdr:col>
      <xdr:colOff>19050</xdr:colOff>
      <xdr:row>128</xdr:row>
      <xdr:rowOff>50800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44000"/>
          <a:ext cx="220980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129</xdr:row>
      <xdr:rowOff>12700</xdr:rowOff>
    </xdr:from>
    <xdr:to>
      <xdr:col>1</xdr:col>
      <xdr:colOff>582211</xdr:colOff>
      <xdr:row>138</xdr:row>
      <xdr:rowOff>148294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24199850"/>
          <a:ext cx="1756961" cy="17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140</xdr:row>
      <xdr:rowOff>38100</xdr:rowOff>
    </xdr:from>
    <xdr:to>
      <xdr:col>1</xdr:col>
      <xdr:colOff>582212</xdr:colOff>
      <xdr:row>149</xdr:row>
      <xdr:rowOff>173695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26250900"/>
          <a:ext cx="1756962" cy="179294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151</xdr:row>
      <xdr:rowOff>25400</xdr:rowOff>
    </xdr:from>
    <xdr:to>
      <xdr:col>1</xdr:col>
      <xdr:colOff>607610</xdr:colOff>
      <xdr:row>160</xdr:row>
      <xdr:rowOff>161700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28263850"/>
          <a:ext cx="1756960" cy="1793650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162</xdr:row>
      <xdr:rowOff>139700</xdr:rowOff>
    </xdr:from>
    <xdr:to>
      <xdr:col>1</xdr:col>
      <xdr:colOff>626661</xdr:colOff>
      <xdr:row>172</xdr:row>
      <xdr:rowOff>91145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30403800"/>
          <a:ext cx="1756961" cy="1792945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174</xdr:row>
      <xdr:rowOff>120650</xdr:rowOff>
    </xdr:from>
    <xdr:to>
      <xdr:col>1</xdr:col>
      <xdr:colOff>690161</xdr:colOff>
      <xdr:row>185</xdr:row>
      <xdr:rowOff>30506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32594550"/>
          <a:ext cx="1896661" cy="1935506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187</xdr:row>
      <xdr:rowOff>133350</xdr:rowOff>
    </xdr:from>
    <xdr:to>
      <xdr:col>1</xdr:col>
      <xdr:colOff>607611</xdr:colOff>
      <xdr:row>197</xdr:row>
      <xdr:rowOff>85500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35001200"/>
          <a:ext cx="1756961" cy="1793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ten.ru/upload/iblock/fe5/%D0%9A%D0%90%D0%A2%D0%90%D0%9B%D0%9E%D0%93%20%D0%93%D0%9A%20%D0%A1%D0%A2%D0%AD%D0%9D%202017%20%D0%98%D0%9D%D0%A2%D0%95%D0%A0%202.pdf" TargetMode="External"/><Relationship Id="rId1" Type="http://schemas.openxmlformats.org/officeDocument/2006/relationships/hyperlink" Target="http://www.sten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K56"/>
  <sheetViews>
    <sheetView showGridLines="0" showRowColHeaders="0" tabSelected="1" view="pageBreakPreview" zoomScaleNormal="100" zoomScaleSheetLayoutView="100" workbookViewId="0">
      <selection activeCell="A15" sqref="A15:J15"/>
    </sheetView>
  </sheetViews>
  <sheetFormatPr defaultRowHeight="14.5" x14ac:dyDescent="0.35"/>
  <cols>
    <col min="5" max="5" width="9.54296875" customWidth="1"/>
    <col min="8" max="8" width="8" customWidth="1"/>
    <col min="9" max="9" width="6.1796875" customWidth="1"/>
    <col min="10" max="10" width="20.81640625" customWidth="1"/>
  </cols>
  <sheetData>
    <row r="1" spans="1:11" ht="22" x14ac:dyDescent="0.35">
      <c r="F1" s="235" t="s">
        <v>0</v>
      </c>
      <c r="G1" s="235"/>
      <c r="H1" s="235"/>
      <c r="I1" s="235"/>
      <c r="J1" s="235"/>
    </row>
    <row r="2" spans="1:11" ht="15.5" x14ac:dyDescent="0.35">
      <c r="F2" s="236" t="s">
        <v>1</v>
      </c>
      <c r="G2" s="236"/>
      <c r="H2" s="236"/>
      <c r="I2" s="236"/>
      <c r="J2" s="236"/>
    </row>
    <row r="3" spans="1:11" x14ac:dyDescent="0.35">
      <c r="F3" s="237" t="s">
        <v>2</v>
      </c>
      <c r="G3" s="237"/>
      <c r="H3" s="237"/>
      <c r="I3" s="237"/>
      <c r="J3" s="237"/>
      <c r="K3" s="1"/>
    </row>
    <row r="5" spans="1:11" ht="17.5" x14ac:dyDescent="0.35">
      <c r="A5" s="238" t="s">
        <v>271</v>
      </c>
      <c r="B5" s="238"/>
      <c r="C5" s="238"/>
      <c r="D5" s="238"/>
      <c r="E5" s="238"/>
      <c r="F5" s="238"/>
      <c r="G5" s="239">
        <f>Скидка!B15</f>
        <v>43159</v>
      </c>
      <c r="H5" s="239"/>
    </row>
    <row r="6" spans="1:11" ht="7" customHeight="1" x14ac:dyDescent="0.35"/>
    <row r="7" spans="1:11" x14ac:dyDescent="0.35">
      <c r="A7" s="21" t="s">
        <v>278</v>
      </c>
      <c r="B7" s="20"/>
      <c r="D7" s="240" t="s">
        <v>274</v>
      </c>
      <c r="E7" s="240"/>
      <c r="F7" s="241" t="s">
        <v>275</v>
      </c>
      <c r="G7" s="241"/>
    </row>
    <row r="8" spans="1:11" x14ac:dyDescent="0.35">
      <c r="A8" s="233" t="s">
        <v>620</v>
      </c>
      <c r="B8" s="233"/>
      <c r="C8" s="233"/>
      <c r="D8" s="233"/>
      <c r="E8" s="233"/>
      <c r="F8" s="233"/>
      <c r="G8" s="233"/>
      <c r="H8" s="233"/>
      <c r="I8" s="233"/>
      <c r="J8" s="233"/>
    </row>
    <row r="9" spans="1:11" ht="2.5" customHeight="1" x14ac:dyDescent="0.35">
      <c r="A9" s="233"/>
      <c r="B9" s="233"/>
      <c r="C9" s="233"/>
      <c r="D9" s="233"/>
      <c r="E9" s="233"/>
      <c r="F9" s="233"/>
      <c r="G9" s="233"/>
      <c r="H9" s="233"/>
      <c r="I9" s="233"/>
      <c r="J9" s="233"/>
    </row>
    <row r="15" spans="1:11" x14ac:dyDescent="0.35">
      <c r="A15" s="228" t="s">
        <v>632</v>
      </c>
      <c r="B15" s="228"/>
      <c r="C15" s="228"/>
      <c r="D15" s="228"/>
      <c r="E15" s="228"/>
      <c r="F15" s="228"/>
      <c r="G15" s="228"/>
      <c r="H15" s="228"/>
      <c r="I15" s="228"/>
      <c r="J15" s="228"/>
    </row>
    <row r="16" spans="1:11" x14ac:dyDescent="0.35">
      <c r="A16" s="234" t="s">
        <v>279</v>
      </c>
      <c r="B16" s="234"/>
      <c r="C16" s="234"/>
      <c r="D16" s="234"/>
      <c r="E16" s="234"/>
      <c r="F16" s="234"/>
      <c r="G16" s="234"/>
      <c r="H16" s="234"/>
      <c r="I16" s="234"/>
      <c r="J16" s="234"/>
    </row>
    <row r="17" spans="1:10" x14ac:dyDescent="0.35">
      <c r="A17" s="234"/>
      <c r="B17" s="234"/>
      <c r="C17" s="234"/>
      <c r="D17" s="234"/>
      <c r="E17" s="234"/>
      <c r="F17" s="234"/>
      <c r="G17" s="234"/>
      <c r="H17" s="234"/>
      <c r="I17" s="234"/>
      <c r="J17" s="234"/>
    </row>
    <row r="19" spans="1:10" x14ac:dyDescent="0.35">
      <c r="H19" s="1"/>
    </row>
    <row r="23" spans="1:10" x14ac:dyDescent="0.35">
      <c r="A23" s="228" t="s">
        <v>477</v>
      </c>
      <c r="B23" s="228"/>
      <c r="C23" s="228"/>
      <c r="D23" s="228"/>
      <c r="E23" s="228"/>
      <c r="F23" s="228"/>
      <c r="G23" s="228"/>
      <c r="H23" s="228"/>
      <c r="I23" s="228"/>
      <c r="J23" s="228"/>
    </row>
    <row r="24" spans="1:10" ht="15.65" customHeight="1" x14ac:dyDescent="0.35">
      <c r="A24" s="229" t="s">
        <v>280</v>
      </c>
      <c r="B24" s="229"/>
      <c r="C24" s="229"/>
      <c r="D24" s="229"/>
      <c r="E24" s="229"/>
      <c r="F24" s="229"/>
      <c r="G24" s="229"/>
      <c r="H24" s="229"/>
      <c r="I24" s="229"/>
      <c r="J24" s="229"/>
    </row>
    <row r="25" spans="1:10" hidden="1" x14ac:dyDescent="0.35">
      <c r="A25" s="229"/>
      <c r="B25" s="229"/>
      <c r="C25" s="229"/>
      <c r="D25" s="229"/>
      <c r="E25" s="229"/>
      <c r="F25" s="229"/>
      <c r="G25" s="229"/>
      <c r="H25" s="229"/>
      <c r="I25" s="229"/>
      <c r="J25" s="229"/>
    </row>
    <row r="31" spans="1:10" x14ac:dyDescent="0.35">
      <c r="A31" s="228" t="s">
        <v>479</v>
      </c>
      <c r="B31" s="228"/>
      <c r="C31" s="228"/>
      <c r="D31" s="228"/>
      <c r="E31" s="228"/>
      <c r="F31" s="228"/>
      <c r="G31" s="228"/>
      <c r="H31" s="228"/>
      <c r="I31" s="228"/>
      <c r="J31" s="228"/>
    </row>
    <row r="32" spans="1:10" x14ac:dyDescent="0.35">
      <c r="A32" s="230" t="s">
        <v>281</v>
      </c>
      <c r="B32" s="230"/>
      <c r="C32" s="230"/>
      <c r="D32" s="230"/>
      <c r="E32" s="230"/>
      <c r="F32" s="230"/>
      <c r="G32" s="230"/>
      <c r="H32" s="230"/>
      <c r="I32" s="230"/>
      <c r="J32" s="230"/>
    </row>
    <row r="33" spans="1:10" ht="1.5" customHeight="1" x14ac:dyDescent="0.35">
      <c r="A33" s="230"/>
      <c r="B33" s="230"/>
      <c r="C33" s="230"/>
      <c r="D33" s="230"/>
      <c r="E33" s="230"/>
      <c r="F33" s="230"/>
      <c r="G33" s="230"/>
      <c r="H33" s="230"/>
      <c r="I33" s="230"/>
      <c r="J33" s="230"/>
    </row>
    <row r="40" spans="1:10" x14ac:dyDescent="0.35">
      <c r="A40" s="231" t="s">
        <v>282</v>
      </c>
      <c r="B40" s="231"/>
      <c r="C40" s="231"/>
      <c r="D40" s="231"/>
      <c r="E40" s="231"/>
      <c r="F40" s="231"/>
      <c r="G40" s="231"/>
      <c r="H40" s="231"/>
      <c r="I40" s="231"/>
      <c r="J40" s="231"/>
    </row>
    <row r="41" spans="1:10" ht="2.15" customHeight="1" x14ac:dyDescent="0.35">
      <c r="A41" s="231"/>
      <c r="B41" s="231"/>
      <c r="C41" s="231"/>
      <c r="D41" s="231"/>
      <c r="E41" s="231"/>
      <c r="F41" s="231"/>
      <c r="G41" s="231"/>
      <c r="H41" s="231"/>
      <c r="I41" s="231"/>
      <c r="J41" s="231"/>
    </row>
    <row r="47" spans="1:10" x14ac:dyDescent="0.35">
      <c r="A47" s="228" t="s">
        <v>476</v>
      </c>
      <c r="B47" s="228"/>
      <c r="C47" s="228"/>
      <c r="D47" s="228"/>
      <c r="E47" s="228"/>
      <c r="F47" s="228"/>
      <c r="G47" s="228"/>
      <c r="H47" s="228"/>
      <c r="I47" s="228"/>
      <c r="J47" s="228"/>
    </row>
    <row r="48" spans="1:10" ht="14.15" customHeight="1" x14ac:dyDescent="0.35">
      <c r="A48" s="232" t="s">
        <v>359</v>
      </c>
      <c r="B48" s="232"/>
      <c r="C48" s="232"/>
      <c r="D48" s="232"/>
      <c r="E48" s="232"/>
      <c r="F48" s="232"/>
      <c r="G48" s="232"/>
      <c r="H48" s="232"/>
      <c r="I48" s="232"/>
      <c r="J48" s="232"/>
    </row>
    <row r="49" spans="1:10" hidden="1" x14ac:dyDescent="0.35">
      <c r="A49" s="232"/>
      <c r="B49" s="232"/>
      <c r="C49" s="232"/>
      <c r="D49" s="232"/>
      <c r="E49" s="232"/>
      <c r="F49" s="232"/>
      <c r="G49" s="232"/>
      <c r="H49" s="232"/>
      <c r="I49" s="232"/>
      <c r="J49" s="232"/>
    </row>
    <row r="55" spans="1:10" x14ac:dyDescent="0.35">
      <c r="A55" s="228" t="s">
        <v>478</v>
      </c>
      <c r="B55" s="228"/>
      <c r="C55" s="228"/>
      <c r="D55" s="228"/>
      <c r="E55" s="228"/>
      <c r="F55" s="228"/>
      <c r="G55" s="228"/>
      <c r="H55" s="228"/>
      <c r="I55" s="228"/>
      <c r="J55" s="228"/>
    </row>
    <row r="56" spans="1:10" ht="16" x14ac:dyDescent="0.35">
      <c r="A56" s="227" t="s">
        <v>491</v>
      </c>
      <c r="B56" s="227"/>
      <c r="C56" s="227"/>
      <c r="D56" s="227"/>
      <c r="E56" s="227"/>
      <c r="F56" s="227"/>
      <c r="G56" s="227"/>
      <c r="H56" s="227"/>
      <c r="I56" s="227"/>
      <c r="J56" s="227"/>
    </row>
  </sheetData>
  <mergeCells count="19">
    <mergeCell ref="A8:J9"/>
    <mergeCell ref="A16:J17"/>
    <mergeCell ref="F1:J1"/>
    <mergeCell ref="F2:J2"/>
    <mergeCell ref="F3:J3"/>
    <mergeCell ref="A5:F5"/>
    <mergeCell ref="G5:H5"/>
    <mergeCell ref="D7:E7"/>
    <mergeCell ref="F7:G7"/>
    <mergeCell ref="A56:J56"/>
    <mergeCell ref="A47:J47"/>
    <mergeCell ref="A31:J31"/>
    <mergeCell ref="A55:J55"/>
    <mergeCell ref="A15:J15"/>
    <mergeCell ref="A23:J23"/>
    <mergeCell ref="A24:J25"/>
    <mergeCell ref="A32:J33"/>
    <mergeCell ref="A40:J41"/>
    <mergeCell ref="A48:J49"/>
  </mergeCells>
  <hyperlinks>
    <hyperlink ref="A16:J17" location="'Комплектующие '!A1" display="Комплектующие (клапана, заглушки, регулятор тяги, термометры, горелки, переходники, расширительные баки, зап. части)"/>
    <hyperlink ref="A8:J9" location="' Котлы ТТ'!A1" display="Твердотопливные котлы ( Каракан)"/>
    <hyperlink ref="A24:J25" location="'Печи банные, отопительные'!A1" display="Печи банные, отопительные (Барга, Парабель)"/>
    <hyperlink ref="A32:J33" location="'Котлы газовые'!A1" display="Котлы газовые (Каракан ЭГ)"/>
    <hyperlink ref="A40:J41" location="'Электропродукция(котлы,ПУЭ,ТЭН)'!A1" display="Электропродукция (котлы Салаир, Чаус, ЭВП, пульты ПУЭ, ТЭНБ, Терморегуляторы, Электрообогреватели)"/>
    <hyperlink ref="A48:J49" location="'Прочая продукция'!A1" display="Прочая продукция ( мангалы, дровница, солнечные часы, флюгеры)"/>
    <hyperlink ref="A56:J56" location="Скидка!A1" display="Скидка на продукцию"/>
    <hyperlink ref="D7:E7" r:id="rId1" display="на сайте www.sten.ru"/>
    <hyperlink ref="F7:G7" r:id="rId2" display="и в каталоге"/>
  </hyperlinks>
  <pageMargins left="0" right="0" top="0" bottom="0" header="0" footer="0"/>
  <pageSetup paperSize="9" orientation="portrait" horizontalDpi="4294967295" verticalDpi="4294967295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"/>
  <sheetViews>
    <sheetView workbookViewId="0">
      <selection activeCell="C25" sqref="C25"/>
    </sheetView>
  </sheetViews>
  <sheetFormatPr defaultRowHeight="14.5" x14ac:dyDescent="0.35"/>
  <cols>
    <col min="1" max="1" width="35.453125" customWidth="1"/>
  </cols>
  <sheetData>
    <row r="1" spans="1:5" x14ac:dyDescent="0.35">
      <c r="A1" s="28"/>
      <c r="B1" s="37">
        <v>1</v>
      </c>
      <c r="C1" s="37">
        <v>2</v>
      </c>
      <c r="D1" s="37">
        <v>3</v>
      </c>
      <c r="E1" s="37">
        <v>4</v>
      </c>
    </row>
    <row r="2" spans="1:5" x14ac:dyDescent="0.35">
      <c r="A2" s="29" t="s">
        <v>5</v>
      </c>
      <c r="B2" s="37"/>
      <c r="C2" s="37"/>
      <c r="D2" s="37"/>
      <c r="E2" s="37"/>
    </row>
    <row r="3" spans="1:5" x14ac:dyDescent="0.35">
      <c r="A3" s="29" t="s">
        <v>6</v>
      </c>
      <c r="B3" s="37"/>
      <c r="C3" s="37"/>
      <c r="D3" s="37"/>
      <c r="E3" s="37"/>
    </row>
    <row r="4" spans="1:5" x14ac:dyDescent="0.35">
      <c r="A4" s="29" t="s">
        <v>7</v>
      </c>
      <c r="B4" s="37"/>
      <c r="C4" s="37"/>
      <c r="D4" s="37"/>
      <c r="E4" s="37"/>
    </row>
    <row r="5" spans="1:5" x14ac:dyDescent="0.35">
      <c r="A5" s="29" t="s">
        <v>8</v>
      </c>
      <c r="B5" s="37"/>
      <c r="C5" s="37"/>
      <c r="D5" s="37"/>
      <c r="E5" s="37"/>
    </row>
    <row r="6" spans="1:5" x14ac:dyDescent="0.35">
      <c r="A6" s="29" t="s">
        <v>345</v>
      </c>
      <c r="B6" s="37"/>
      <c r="C6" s="37"/>
      <c r="D6" s="37"/>
      <c r="E6" s="37"/>
    </row>
    <row r="7" spans="1:5" x14ac:dyDescent="0.35">
      <c r="A7" s="29" t="s">
        <v>9</v>
      </c>
      <c r="B7" s="37"/>
      <c r="C7" s="37"/>
      <c r="D7" s="37"/>
      <c r="E7" s="37"/>
    </row>
    <row r="8" spans="1:5" x14ac:dyDescent="0.35">
      <c r="A8" s="29" t="s">
        <v>10</v>
      </c>
      <c r="B8" s="37"/>
      <c r="C8" s="37"/>
      <c r="D8" s="37"/>
      <c r="E8" s="37"/>
    </row>
    <row r="9" spans="1:5" x14ac:dyDescent="0.35">
      <c r="A9" s="29" t="s">
        <v>11</v>
      </c>
      <c r="B9" s="37"/>
      <c r="C9" s="37"/>
      <c r="D9" s="37"/>
      <c r="E9" s="37"/>
    </row>
    <row r="10" spans="1:5" x14ac:dyDescent="0.35">
      <c r="A10" s="29" t="s">
        <v>12</v>
      </c>
      <c r="B10" s="37"/>
      <c r="C10" s="37"/>
      <c r="D10" s="37"/>
      <c r="E10" s="37"/>
    </row>
    <row r="11" spans="1:5" x14ac:dyDescent="0.35">
      <c r="A11" s="29" t="s">
        <v>13</v>
      </c>
      <c r="B11" s="37"/>
      <c r="C11" s="37"/>
      <c r="D11" s="37"/>
      <c r="E11" s="37"/>
    </row>
    <row r="12" spans="1:5" x14ac:dyDescent="0.35">
      <c r="A12" s="29" t="s">
        <v>14</v>
      </c>
      <c r="B12" s="37"/>
      <c r="C12" s="37"/>
      <c r="D12" s="37"/>
      <c r="E12" s="37"/>
    </row>
    <row r="13" spans="1:5" x14ac:dyDescent="0.35">
      <c r="A13" s="29" t="s">
        <v>15</v>
      </c>
      <c r="B13" s="37"/>
      <c r="C13" s="37"/>
      <c r="D13" s="37"/>
      <c r="E13" s="37"/>
    </row>
    <row r="14" spans="1:5" x14ac:dyDescent="0.35">
      <c r="A14" s="29" t="s">
        <v>16</v>
      </c>
      <c r="B14" s="37"/>
      <c r="C14" s="37"/>
      <c r="D14" s="37"/>
      <c r="E14" s="37"/>
    </row>
    <row r="15" spans="1:5" x14ac:dyDescent="0.35">
      <c r="A15" s="29" t="s">
        <v>17</v>
      </c>
      <c r="B15" s="37"/>
      <c r="C15" s="37"/>
      <c r="D15" s="37"/>
      <c r="E15" s="37"/>
    </row>
    <row r="16" spans="1:5" x14ac:dyDescent="0.35">
      <c r="A16" s="29" t="s">
        <v>18</v>
      </c>
      <c r="B16" s="37"/>
      <c r="C16" s="37"/>
      <c r="D16" s="37"/>
      <c r="E16" s="37"/>
    </row>
    <row r="17" spans="1:5" x14ac:dyDescent="0.35">
      <c r="A17" s="29" t="s">
        <v>19</v>
      </c>
      <c r="B17" s="37"/>
      <c r="C17" s="37"/>
      <c r="D17" s="37"/>
      <c r="E17" s="37"/>
    </row>
    <row r="18" spans="1:5" x14ac:dyDescent="0.35">
      <c r="A18" s="29" t="s">
        <v>20</v>
      </c>
      <c r="B18" s="37"/>
      <c r="C18" s="37"/>
      <c r="D18" s="37"/>
      <c r="E18" s="37"/>
    </row>
    <row r="19" spans="1:5" x14ac:dyDescent="0.35">
      <c r="A19" s="29" t="s">
        <v>21</v>
      </c>
      <c r="B19" s="37"/>
      <c r="C19" s="37"/>
      <c r="D19" s="37"/>
      <c r="E19" s="37"/>
    </row>
    <row r="20" spans="1:5" x14ac:dyDescent="0.35">
      <c r="A20" s="29" t="s">
        <v>22</v>
      </c>
      <c r="B20" s="37"/>
      <c r="C20" s="37"/>
      <c r="D20" s="37"/>
      <c r="E20" s="37"/>
    </row>
    <row r="21" spans="1:5" x14ac:dyDescent="0.35">
      <c r="A21" s="29" t="s">
        <v>23</v>
      </c>
      <c r="B21" s="37"/>
      <c r="C21" s="37"/>
      <c r="D21" s="37"/>
      <c r="E21" s="37"/>
    </row>
    <row r="22" spans="1:5" x14ac:dyDescent="0.35">
      <c r="A22" s="29" t="s">
        <v>24</v>
      </c>
      <c r="B22" s="37"/>
      <c r="C22" s="37"/>
      <c r="D22" s="37"/>
      <c r="E22" s="37"/>
    </row>
    <row r="23" spans="1:5" x14ac:dyDescent="0.35">
      <c r="A23" s="29" t="s">
        <v>25</v>
      </c>
      <c r="B23" s="37"/>
      <c r="C23" s="37"/>
      <c r="D23" s="37"/>
      <c r="E23" s="37"/>
    </row>
    <row r="24" spans="1:5" x14ac:dyDescent="0.35">
      <c r="A24" s="29" t="s">
        <v>26</v>
      </c>
      <c r="B24" s="37"/>
      <c r="C24" s="37"/>
      <c r="D24" s="37"/>
      <c r="E24" s="37"/>
    </row>
    <row r="25" spans="1:5" x14ac:dyDescent="0.35">
      <c r="A25" s="30" t="s">
        <v>222</v>
      </c>
      <c r="B25" s="37"/>
      <c r="C25" s="37"/>
      <c r="D25" s="37"/>
      <c r="E25" s="37"/>
    </row>
    <row r="26" spans="1:5" x14ac:dyDescent="0.35">
      <c r="A26" s="30" t="s">
        <v>223</v>
      </c>
      <c r="B26" s="37"/>
      <c r="C26" s="37"/>
      <c r="D26" s="37"/>
      <c r="E26" s="37"/>
    </row>
    <row r="27" spans="1:5" x14ac:dyDescent="0.35">
      <c r="A27" s="31" t="s">
        <v>81</v>
      </c>
      <c r="B27" s="37"/>
      <c r="C27" s="37"/>
      <c r="D27" s="37"/>
      <c r="E27" s="37"/>
    </row>
    <row r="28" spans="1:5" x14ac:dyDescent="0.35">
      <c r="A28" s="32" t="s">
        <v>260</v>
      </c>
      <c r="B28" s="37">
        <v>10</v>
      </c>
      <c r="C28" s="37"/>
      <c r="D28" s="37"/>
      <c r="E28" s="37"/>
    </row>
    <row r="29" spans="1:5" x14ac:dyDescent="0.35">
      <c r="A29" s="32" t="s">
        <v>261</v>
      </c>
      <c r="B29" s="37">
        <v>10</v>
      </c>
      <c r="C29" s="37"/>
      <c r="D29" s="37"/>
      <c r="E29" s="37"/>
    </row>
    <row r="30" spans="1:5" x14ac:dyDescent="0.35">
      <c r="A30" s="32" t="s">
        <v>84</v>
      </c>
      <c r="B30" s="37"/>
      <c r="C30" s="37"/>
      <c r="D30" s="37"/>
      <c r="E30" s="37"/>
    </row>
    <row r="31" spans="1:5" x14ac:dyDescent="0.35">
      <c r="A31" s="32" t="s">
        <v>85</v>
      </c>
      <c r="B31" s="37"/>
      <c r="C31" s="37"/>
      <c r="D31" s="37"/>
      <c r="E31" s="37"/>
    </row>
    <row r="32" spans="1:5" x14ac:dyDescent="0.35">
      <c r="A32" s="33" t="s">
        <v>86</v>
      </c>
      <c r="B32" s="37"/>
      <c r="C32" s="37"/>
      <c r="D32" s="37"/>
      <c r="E32" s="37"/>
    </row>
    <row r="33" spans="1:5" x14ac:dyDescent="0.35">
      <c r="A33" s="33" t="s">
        <v>87</v>
      </c>
      <c r="B33" s="37"/>
      <c r="C33" s="37"/>
      <c r="D33" s="37"/>
      <c r="E33" s="37"/>
    </row>
    <row r="34" spans="1:5" x14ac:dyDescent="0.35">
      <c r="A34" s="34" t="s">
        <v>102</v>
      </c>
      <c r="B34" s="37"/>
      <c r="C34" s="37"/>
      <c r="D34" s="37"/>
      <c r="E34" s="37"/>
    </row>
    <row r="35" spans="1:5" x14ac:dyDescent="0.35">
      <c r="A35" s="28" t="s">
        <v>106</v>
      </c>
      <c r="B35" s="37"/>
      <c r="C35" s="37"/>
      <c r="D35" s="37"/>
      <c r="E35" s="37"/>
    </row>
    <row r="36" spans="1:5" x14ac:dyDescent="0.35">
      <c r="A36" s="28" t="s">
        <v>103</v>
      </c>
      <c r="B36" s="37"/>
      <c r="C36" s="37"/>
      <c r="D36" s="37"/>
      <c r="E36" s="37"/>
    </row>
    <row r="37" spans="1:5" x14ac:dyDescent="0.35">
      <c r="A37" s="35" t="s">
        <v>104</v>
      </c>
      <c r="B37" s="37"/>
      <c r="C37" s="37"/>
      <c r="D37" s="37"/>
      <c r="E37" s="37"/>
    </row>
    <row r="38" spans="1:5" x14ac:dyDescent="0.35">
      <c r="A38" s="35" t="s">
        <v>105</v>
      </c>
      <c r="B38" s="37"/>
      <c r="C38" s="37"/>
      <c r="D38" s="37"/>
      <c r="E38" s="37"/>
    </row>
    <row r="39" spans="1:5" ht="26" x14ac:dyDescent="0.35">
      <c r="A39" s="32" t="s">
        <v>205</v>
      </c>
      <c r="B39" s="37"/>
      <c r="C39" s="37"/>
      <c r="D39" s="37"/>
      <c r="E39" s="37"/>
    </row>
    <row r="40" spans="1:5" ht="26" x14ac:dyDescent="0.35">
      <c r="A40" s="31" t="s">
        <v>113</v>
      </c>
      <c r="B40" s="37"/>
      <c r="C40" s="37"/>
      <c r="D40" s="37"/>
      <c r="E40" s="37"/>
    </row>
    <row r="41" spans="1:5" ht="26" x14ac:dyDescent="0.35">
      <c r="A41" s="31" t="s">
        <v>115</v>
      </c>
      <c r="B41" s="37"/>
      <c r="C41" s="37"/>
      <c r="D41" s="37"/>
      <c r="E41" s="37"/>
    </row>
    <row r="42" spans="1:5" ht="26" x14ac:dyDescent="0.35">
      <c r="A42" s="31" t="s">
        <v>114</v>
      </c>
      <c r="B42" s="37"/>
      <c r="C42" s="37"/>
      <c r="D42" s="37"/>
      <c r="E42" s="37"/>
    </row>
    <row r="43" spans="1:5" x14ac:dyDescent="0.35">
      <c r="A43" s="31" t="s">
        <v>116</v>
      </c>
      <c r="B43" s="37"/>
      <c r="C43" s="37"/>
      <c r="D43" s="37"/>
      <c r="E43" s="37"/>
    </row>
    <row r="44" spans="1:5" x14ac:dyDescent="0.35">
      <c r="A44" s="31" t="s">
        <v>117</v>
      </c>
      <c r="B44" s="37"/>
      <c r="C44" s="37"/>
      <c r="D44" s="37"/>
      <c r="E44" s="37"/>
    </row>
    <row r="45" spans="1:5" x14ac:dyDescent="0.35">
      <c r="A45" s="31" t="s">
        <v>231</v>
      </c>
      <c r="B45" s="37"/>
      <c r="C45" s="37"/>
      <c r="D45" s="37"/>
      <c r="E45" s="37"/>
    </row>
    <row r="46" spans="1:5" ht="26" x14ac:dyDescent="0.35">
      <c r="A46" s="31" t="s">
        <v>112</v>
      </c>
      <c r="B46" s="37"/>
      <c r="C46" s="37"/>
      <c r="D46" s="37"/>
      <c r="E46" s="37"/>
    </row>
    <row r="47" spans="1:5" x14ac:dyDescent="0.35">
      <c r="A47" s="31" t="s">
        <v>118</v>
      </c>
      <c r="B47" s="37"/>
      <c r="C47" s="37"/>
      <c r="D47" s="37"/>
      <c r="E47" s="37"/>
    </row>
    <row r="48" spans="1:5" x14ac:dyDescent="0.35">
      <c r="A48" s="31" t="s">
        <v>119</v>
      </c>
      <c r="B48" s="37"/>
      <c r="C48" s="37"/>
      <c r="D48" s="37"/>
      <c r="E48" s="37"/>
    </row>
    <row r="49" spans="1:5" ht="26" x14ac:dyDescent="0.35">
      <c r="A49" s="31" t="s">
        <v>120</v>
      </c>
      <c r="B49" s="37"/>
      <c r="C49" s="37"/>
      <c r="D49" s="37"/>
      <c r="E49" s="37"/>
    </row>
    <row r="50" spans="1:5" ht="26" x14ac:dyDescent="0.35">
      <c r="A50" s="31" t="s">
        <v>121</v>
      </c>
      <c r="B50" s="37"/>
      <c r="C50" s="37"/>
      <c r="D50" s="37"/>
      <c r="E50" s="37"/>
    </row>
    <row r="51" spans="1:5" x14ac:dyDescent="0.35">
      <c r="A51" s="31" t="s">
        <v>122</v>
      </c>
      <c r="B51" s="37"/>
      <c r="C51" s="37"/>
      <c r="D51" s="37"/>
      <c r="E51" s="37"/>
    </row>
    <row r="52" spans="1:5" x14ac:dyDescent="0.35">
      <c r="A52" s="31" t="s">
        <v>123</v>
      </c>
      <c r="B52" s="37"/>
      <c r="C52" s="37"/>
      <c r="D52" s="37"/>
      <c r="E52" s="37"/>
    </row>
    <row r="53" spans="1:5" x14ac:dyDescent="0.35">
      <c r="A53" s="31" t="s">
        <v>124</v>
      </c>
      <c r="B53" s="37"/>
      <c r="C53" s="37"/>
      <c r="D53" s="37"/>
      <c r="E53" s="37"/>
    </row>
    <row r="54" spans="1:5" x14ac:dyDescent="0.35">
      <c r="A54" s="31" t="s">
        <v>125</v>
      </c>
      <c r="B54" s="37"/>
      <c r="C54" s="37"/>
      <c r="D54" s="37"/>
      <c r="E54" s="37"/>
    </row>
    <row r="55" spans="1:5" x14ac:dyDescent="0.35">
      <c r="A55" s="33" t="s">
        <v>126</v>
      </c>
      <c r="B55" s="37"/>
      <c r="C55" s="37"/>
      <c r="D55" s="37"/>
      <c r="E55" s="37"/>
    </row>
    <row r="56" spans="1:5" x14ac:dyDescent="0.35">
      <c r="A56" s="33" t="s">
        <v>127</v>
      </c>
      <c r="B56" s="37"/>
      <c r="C56" s="37"/>
      <c r="D56" s="37"/>
      <c r="E56" s="37"/>
    </row>
    <row r="57" spans="1:5" x14ac:dyDescent="0.35">
      <c r="A57" s="33" t="s">
        <v>128</v>
      </c>
      <c r="B57" s="37"/>
      <c r="C57" s="37"/>
      <c r="D57" s="37"/>
      <c r="E57" s="37"/>
    </row>
    <row r="58" spans="1:5" x14ac:dyDescent="0.35">
      <c r="A58" s="33" t="s">
        <v>129</v>
      </c>
      <c r="B58" s="37"/>
      <c r="C58" s="37"/>
      <c r="D58" s="37"/>
      <c r="E58" s="37"/>
    </row>
    <row r="59" spans="1:5" x14ac:dyDescent="0.35">
      <c r="A59" s="32" t="s">
        <v>200</v>
      </c>
      <c r="B59" s="37"/>
      <c r="C59" s="37"/>
      <c r="D59" s="37"/>
      <c r="E59" s="37"/>
    </row>
    <row r="60" spans="1:5" x14ac:dyDescent="0.35">
      <c r="A60" s="32" t="s">
        <v>201</v>
      </c>
      <c r="B60" s="37"/>
      <c r="C60" s="37"/>
      <c r="D60" s="37"/>
      <c r="E60" s="37"/>
    </row>
    <row r="61" spans="1:5" x14ac:dyDescent="0.35">
      <c r="A61" s="32" t="s">
        <v>139</v>
      </c>
      <c r="B61" s="37"/>
      <c r="C61" s="37"/>
      <c r="D61" s="37"/>
      <c r="E61" s="37"/>
    </row>
    <row r="62" spans="1:5" x14ac:dyDescent="0.35">
      <c r="A62" s="32" t="s">
        <v>140</v>
      </c>
      <c r="B62" s="37"/>
      <c r="C62" s="37"/>
      <c r="D62" s="37"/>
      <c r="E62" s="37"/>
    </row>
    <row r="63" spans="1:5" x14ac:dyDescent="0.35">
      <c r="A63" s="32" t="s">
        <v>141</v>
      </c>
      <c r="B63" s="37"/>
      <c r="C63" s="37"/>
      <c r="D63" s="37"/>
      <c r="E63" s="37"/>
    </row>
    <row r="64" spans="1:5" x14ac:dyDescent="0.35">
      <c r="A64" s="32" t="s">
        <v>142</v>
      </c>
      <c r="B64" s="37"/>
      <c r="C64" s="37"/>
      <c r="D64" s="37"/>
      <c r="E64" s="37"/>
    </row>
    <row r="65" spans="1:5" x14ac:dyDescent="0.35">
      <c r="A65" s="32" t="s">
        <v>143</v>
      </c>
      <c r="B65" s="37"/>
      <c r="C65" s="37"/>
      <c r="D65" s="37"/>
      <c r="E65" s="37"/>
    </row>
    <row r="66" spans="1:5" x14ac:dyDescent="0.35">
      <c r="A66" s="32" t="s">
        <v>144</v>
      </c>
      <c r="B66" s="37"/>
      <c r="C66" s="37"/>
      <c r="D66" s="37"/>
      <c r="E66" s="37"/>
    </row>
    <row r="67" spans="1:5" x14ac:dyDescent="0.35">
      <c r="A67" s="32" t="s">
        <v>145</v>
      </c>
      <c r="B67" s="37"/>
      <c r="C67" s="37"/>
      <c r="D67" s="37"/>
      <c r="E67" s="37"/>
    </row>
    <row r="68" spans="1:5" x14ac:dyDescent="0.35">
      <c r="A68" s="32" t="s">
        <v>146</v>
      </c>
      <c r="B68" s="37"/>
      <c r="C68" s="37"/>
      <c r="D68" s="37"/>
      <c r="E68" s="37"/>
    </row>
    <row r="69" spans="1:5" x14ac:dyDescent="0.35">
      <c r="A69" s="32" t="s">
        <v>147</v>
      </c>
      <c r="B69" s="37"/>
      <c r="C69" s="37"/>
      <c r="D69" s="37"/>
      <c r="E69" s="37"/>
    </row>
    <row r="70" spans="1:5" x14ac:dyDescent="0.35">
      <c r="A70" s="32" t="s">
        <v>148</v>
      </c>
      <c r="B70" s="37"/>
      <c r="C70" s="37"/>
      <c r="D70" s="37"/>
      <c r="E70" s="37"/>
    </row>
    <row r="71" spans="1:5" x14ac:dyDescent="0.35">
      <c r="A71" s="32" t="s">
        <v>149</v>
      </c>
      <c r="B71" s="37"/>
      <c r="C71" s="37"/>
      <c r="D71" s="37"/>
      <c r="E71" s="37"/>
    </row>
    <row r="72" spans="1:5" x14ac:dyDescent="0.35">
      <c r="A72" s="32" t="s">
        <v>150</v>
      </c>
      <c r="B72" s="37"/>
      <c r="C72" s="37"/>
      <c r="D72" s="37"/>
      <c r="E72" s="37"/>
    </row>
    <row r="73" spans="1:5" x14ac:dyDescent="0.35">
      <c r="A73" s="32" t="s">
        <v>151</v>
      </c>
      <c r="B73" s="37"/>
      <c r="C73" s="37"/>
      <c r="D73" s="37"/>
      <c r="E73" s="37"/>
    </row>
    <row r="74" spans="1:5" x14ac:dyDescent="0.35">
      <c r="A74" s="32" t="s">
        <v>152</v>
      </c>
      <c r="B74" s="37"/>
      <c r="C74" s="37"/>
      <c r="D74" s="37"/>
      <c r="E74" s="37"/>
    </row>
    <row r="75" spans="1:5" x14ac:dyDescent="0.35">
      <c r="A75" s="32" t="s">
        <v>153</v>
      </c>
      <c r="B75" s="37"/>
      <c r="C75" s="37"/>
      <c r="D75" s="37"/>
      <c r="E75" s="37"/>
    </row>
    <row r="76" spans="1:5" x14ac:dyDescent="0.35">
      <c r="A76" s="36" t="s">
        <v>173</v>
      </c>
      <c r="B76" s="37"/>
      <c r="C76" s="37"/>
      <c r="D76" s="37"/>
      <c r="E76" s="37"/>
    </row>
    <row r="77" spans="1:5" x14ac:dyDescent="0.35">
      <c r="A77" s="36" t="s">
        <v>174</v>
      </c>
      <c r="B77" s="37"/>
      <c r="C77" s="37"/>
      <c r="D77" s="37"/>
      <c r="E77" s="37"/>
    </row>
    <row r="78" spans="1:5" x14ac:dyDescent="0.35">
      <c r="A78" s="36" t="s">
        <v>175</v>
      </c>
      <c r="B78" s="37"/>
      <c r="C78" s="37"/>
      <c r="D78" s="37"/>
      <c r="E78" s="37"/>
    </row>
    <row r="79" spans="1:5" x14ac:dyDescent="0.35">
      <c r="A79" s="32" t="s">
        <v>203</v>
      </c>
      <c r="B79" s="37"/>
      <c r="C79" s="37"/>
      <c r="D79" s="37"/>
      <c r="E79" s="37"/>
    </row>
    <row r="80" spans="1:5" x14ac:dyDescent="0.35">
      <c r="A80" s="32" t="s">
        <v>207</v>
      </c>
      <c r="B80" s="37"/>
      <c r="C80" s="37"/>
      <c r="D80" s="37"/>
      <c r="E80" s="37"/>
    </row>
    <row r="81" spans="1:5" x14ac:dyDescent="0.35">
      <c r="A81" s="32" t="s">
        <v>208</v>
      </c>
      <c r="B81" s="37"/>
      <c r="C81" s="37"/>
      <c r="D81" s="37"/>
      <c r="E81" s="37"/>
    </row>
    <row r="82" spans="1:5" x14ac:dyDescent="0.35">
      <c r="A82" s="36" t="s">
        <v>243</v>
      </c>
      <c r="B82" s="37"/>
      <c r="C82" s="37"/>
      <c r="D82" s="37"/>
      <c r="E82" s="37"/>
    </row>
    <row r="83" spans="1:5" x14ac:dyDescent="0.35">
      <c r="A83" s="36" t="s">
        <v>244</v>
      </c>
      <c r="B83" s="37"/>
      <c r="C83" s="37"/>
      <c r="D83" s="37"/>
      <c r="E83" s="37"/>
    </row>
    <row r="84" spans="1:5" x14ac:dyDescent="0.35">
      <c r="A84" s="36" t="s">
        <v>245</v>
      </c>
      <c r="B84" s="37"/>
      <c r="C84" s="37"/>
      <c r="D84" s="37"/>
      <c r="E84" s="37"/>
    </row>
    <row r="85" spans="1:5" x14ac:dyDescent="0.35">
      <c r="A85" s="36" t="s">
        <v>246</v>
      </c>
      <c r="B85" s="37"/>
      <c r="C85" s="37"/>
      <c r="D85" s="37"/>
      <c r="E85" s="37"/>
    </row>
    <row r="86" spans="1:5" x14ac:dyDescent="0.35">
      <c r="A86" s="36" t="s">
        <v>247</v>
      </c>
      <c r="B86" s="37"/>
      <c r="C86" s="37"/>
      <c r="D86" s="37"/>
      <c r="E86" s="37"/>
    </row>
    <row r="87" spans="1:5" x14ac:dyDescent="0.35">
      <c r="A87" s="36" t="s">
        <v>248</v>
      </c>
      <c r="B87" s="37"/>
      <c r="C87" s="37"/>
      <c r="D87" s="37"/>
      <c r="E87" s="37"/>
    </row>
    <row r="88" spans="1:5" x14ac:dyDescent="0.35">
      <c r="A88" s="36" t="s">
        <v>250</v>
      </c>
      <c r="B88" s="37"/>
      <c r="C88" s="37"/>
      <c r="D88" s="37"/>
      <c r="E88" s="37"/>
    </row>
    <row r="89" spans="1:5" x14ac:dyDescent="0.35">
      <c r="A89" s="36" t="s">
        <v>251</v>
      </c>
      <c r="B89" s="37"/>
      <c r="C89" s="37"/>
      <c r="D89" s="37"/>
      <c r="E89" s="37"/>
    </row>
    <row r="90" spans="1:5" x14ac:dyDescent="0.35">
      <c r="A90" s="36" t="s">
        <v>252</v>
      </c>
      <c r="B90" s="37"/>
      <c r="C90" s="37"/>
      <c r="D90" s="37"/>
      <c r="E90" s="37"/>
    </row>
    <row r="91" spans="1:5" x14ac:dyDescent="0.35">
      <c r="A91" s="36" t="s">
        <v>253</v>
      </c>
      <c r="B91" s="37"/>
      <c r="C91" s="37"/>
      <c r="D91" s="37"/>
      <c r="E91" s="37"/>
    </row>
    <row r="92" spans="1:5" x14ac:dyDescent="0.35">
      <c r="A92" s="36" t="s">
        <v>254</v>
      </c>
      <c r="B92" s="37"/>
      <c r="C92" s="37"/>
      <c r="D92" s="37"/>
      <c r="E92" s="37"/>
    </row>
    <row r="93" spans="1:5" x14ac:dyDescent="0.35">
      <c r="A93" s="36" t="s">
        <v>255</v>
      </c>
      <c r="B93" s="37"/>
      <c r="C93" s="37"/>
      <c r="D93" s="37"/>
      <c r="E93" s="37"/>
    </row>
    <row r="94" spans="1:5" x14ac:dyDescent="0.35">
      <c r="A94" s="36" t="s">
        <v>33</v>
      </c>
      <c r="B94" s="37"/>
      <c r="C94" s="37"/>
      <c r="D94" s="37"/>
      <c r="E94" s="37"/>
    </row>
    <row r="95" spans="1:5" x14ac:dyDescent="0.35">
      <c r="A95" s="36" t="s">
        <v>34</v>
      </c>
      <c r="B95" s="37"/>
      <c r="C95" s="37"/>
      <c r="D95" s="37"/>
      <c r="E95" s="37"/>
    </row>
    <row r="96" spans="1:5" x14ac:dyDescent="0.35">
      <c r="A96" s="36" t="s">
        <v>35</v>
      </c>
      <c r="B96" s="37"/>
      <c r="C96" s="37"/>
      <c r="D96" s="37"/>
      <c r="E96" s="37"/>
    </row>
    <row r="97" spans="1:5" x14ac:dyDescent="0.35">
      <c r="A97" s="36" t="s">
        <v>36</v>
      </c>
      <c r="B97" s="37"/>
      <c r="C97" s="37"/>
      <c r="D97" s="37"/>
      <c r="E97" s="37"/>
    </row>
    <row r="98" spans="1:5" x14ac:dyDescent="0.35">
      <c r="A98" s="36" t="s">
        <v>37</v>
      </c>
      <c r="B98" s="37"/>
      <c r="C98" s="37"/>
      <c r="D98" s="37"/>
      <c r="E98" s="37"/>
    </row>
    <row r="99" spans="1:5" x14ac:dyDescent="0.35">
      <c r="A99" s="36" t="s">
        <v>38</v>
      </c>
      <c r="B99" s="37"/>
      <c r="C99" s="37"/>
      <c r="D99" s="37"/>
      <c r="E99" s="37"/>
    </row>
    <row r="100" spans="1:5" x14ac:dyDescent="0.35">
      <c r="A100" s="36" t="s">
        <v>39</v>
      </c>
      <c r="B100" s="37"/>
      <c r="C100" s="37"/>
      <c r="D100" s="37"/>
      <c r="E100" s="37"/>
    </row>
    <row r="101" spans="1:5" x14ac:dyDescent="0.35">
      <c r="A101" s="36" t="s">
        <v>40</v>
      </c>
      <c r="B101" s="37"/>
      <c r="C101" s="37"/>
      <c r="D101" s="37"/>
      <c r="E101" s="37"/>
    </row>
    <row r="102" spans="1:5" x14ac:dyDescent="0.35">
      <c r="A102" s="36" t="s">
        <v>41</v>
      </c>
      <c r="B102" s="37"/>
      <c r="C102" s="37"/>
      <c r="D102" s="37"/>
      <c r="E102" s="37"/>
    </row>
    <row r="103" spans="1:5" x14ac:dyDescent="0.35">
      <c r="A103" s="36" t="s">
        <v>42</v>
      </c>
      <c r="B103" s="37"/>
      <c r="C103" s="37"/>
      <c r="D103" s="37"/>
      <c r="E103" s="37"/>
    </row>
    <row r="104" spans="1:5" x14ac:dyDescent="0.35">
      <c r="A104" s="36" t="s">
        <v>43</v>
      </c>
      <c r="B104" s="37"/>
      <c r="C104" s="37"/>
      <c r="D104" s="37"/>
      <c r="E104" s="37"/>
    </row>
    <row r="105" spans="1:5" x14ac:dyDescent="0.35">
      <c r="A105" s="36" t="s">
        <v>44</v>
      </c>
      <c r="B105" s="37"/>
      <c r="C105" s="37"/>
      <c r="D105" s="37"/>
      <c r="E105" s="37"/>
    </row>
    <row r="106" spans="1:5" x14ac:dyDescent="0.35">
      <c r="A106" s="36" t="s">
        <v>45</v>
      </c>
      <c r="B106" s="37"/>
      <c r="C106" s="37"/>
      <c r="D106" s="37"/>
      <c r="E106" s="37"/>
    </row>
    <row r="107" spans="1:5" x14ac:dyDescent="0.35">
      <c r="A107" s="36" t="s">
        <v>46</v>
      </c>
      <c r="B107" s="37"/>
      <c r="C107" s="37"/>
      <c r="D107" s="37"/>
      <c r="E107" s="37"/>
    </row>
    <row r="108" spans="1:5" x14ac:dyDescent="0.35">
      <c r="A108" s="36" t="s">
        <v>47</v>
      </c>
      <c r="B108" s="37"/>
      <c r="C108" s="37"/>
      <c r="D108" s="37"/>
      <c r="E108" s="37"/>
    </row>
    <row r="109" spans="1:5" x14ac:dyDescent="0.35">
      <c r="A109" s="36" t="s">
        <v>48</v>
      </c>
      <c r="B109" s="37"/>
      <c r="C109" s="37"/>
      <c r="D109" s="37"/>
      <c r="E109" s="37"/>
    </row>
    <row r="110" spans="1:5" x14ac:dyDescent="0.35">
      <c r="A110" s="36" t="s">
        <v>49</v>
      </c>
      <c r="B110" s="37"/>
      <c r="C110" s="37"/>
      <c r="D110" s="37"/>
      <c r="E110" s="37"/>
    </row>
    <row r="111" spans="1:5" x14ac:dyDescent="0.35">
      <c r="A111" s="36" t="s">
        <v>50</v>
      </c>
      <c r="B111" s="37"/>
      <c r="C111" s="37"/>
      <c r="D111" s="37"/>
      <c r="E111" s="37"/>
    </row>
    <row r="112" spans="1:5" x14ac:dyDescent="0.35">
      <c r="A112" s="36" t="s">
        <v>51</v>
      </c>
      <c r="B112" s="37"/>
      <c r="C112" s="37"/>
      <c r="D112" s="37"/>
      <c r="E112" s="37"/>
    </row>
    <row r="113" spans="1:5" x14ac:dyDescent="0.35">
      <c r="A113" s="36" t="s">
        <v>52</v>
      </c>
      <c r="B113" s="37"/>
      <c r="C113" s="37"/>
      <c r="D113" s="37"/>
      <c r="E113" s="37"/>
    </row>
    <row r="114" spans="1:5" x14ac:dyDescent="0.35">
      <c r="A114" s="36" t="s">
        <v>53</v>
      </c>
      <c r="B114" s="37"/>
      <c r="C114" s="37"/>
      <c r="D114" s="37"/>
      <c r="E114" s="37"/>
    </row>
    <row r="115" spans="1:5" x14ac:dyDescent="0.35">
      <c r="A115" s="36" t="s">
        <v>54</v>
      </c>
      <c r="B115" s="37"/>
      <c r="C115" s="37"/>
      <c r="D115" s="37"/>
      <c r="E115" s="37"/>
    </row>
    <row r="116" spans="1:5" x14ac:dyDescent="0.35">
      <c r="A116" s="36" t="s">
        <v>55</v>
      </c>
      <c r="B116" s="37"/>
      <c r="C116" s="37"/>
      <c r="D116" s="37"/>
      <c r="E116" s="37"/>
    </row>
    <row r="117" spans="1:5" x14ac:dyDescent="0.35">
      <c r="A117" s="36" t="s">
        <v>56</v>
      </c>
      <c r="B117" s="37"/>
      <c r="C117" s="37"/>
      <c r="D117" s="37"/>
      <c r="E117" s="37"/>
    </row>
    <row r="118" spans="1:5" x14ac:dyDescent="0.35">
      <c r="A118" s="36" t="s">
        <v>57</v>
      </c>
      <c r="B118" s="37"/>
      <c r="C118" s="37"/>
      <c r="D118" s="37"/>
      <c r="E118" s="37"/>
    </row>
    <row r="119" spans="1:5" x14ac:dyDescent="0.35">
      <c r="A119" s="36" t="s">
        <v>58</v>
      </c>
      <c r="B119" s="37"/>
      <c r="C119" s="37"/>
      <c r="D119" s="37"/>
      <c r="E119" s="37"/>
    </row>
    <row r="120" spans="1:5" x14ac:dyDescent="0.35">
      <c r="A120" s="36" t="s">
        <v>59</v>
      </c>
      <c r="B120" s="37"/>
      <c r="C120" s="37"/>
      <c r="D120" s="37"/>
      <c r="E120" s="37"/>
    </row>
    <row r="121" spans="1:5" x14ac:dyDescent="0.35">
      <c r="A121" s="36" t="s">
        <v>60</v>
      </c>
      <c r="B121" s="37"/>
      <c r="C121" s="37"/>
      <c r="D121" s="37"/>
      <c r="E121" s="37"/>
    </row>
    <row r="122" spans="1:5" x14ac:dyDescent="0.35">
      <c r="A122" s="32" t="s">
        <v>74</v>
      </c>
      <c r="B122" s="37"/>
      <c r="C122" s="37"/>
      <c r="D122" s="37"/>
      <c r="E122" s="37"/>
    </row>
    <row r="123" spans="1:5" x14ac:dyDescent="0.35">
      <c r="A123" s="32" t="s">
        <v>75</v>
      </c>
      <c r="B123" s="37"/>
      <c r="C123" s="37"/>
      <c r="D123" s="37"/>
      <c r="E123" s="37"/>
    </row>
    <row r="124" spans="1:5" x14ac:dyDescent="0.35">
      <c r="A124" s="32" t="s">
        <v>76</v>
      </c>
      <c r="B124" s="37"/>
      <c r="C124" s="37"/>
      <c r="D124" s="37"/>
      <c r="E124" s="37"/>
    </row>
    <row r="125" spans="1:5" x14ac:dyDescent="0.35">
      <c r="A125" s="32" t="s">
        <v>77</v>
      </c>
      <c r="B125" s="37"/>
      <c r="C125" s="37"/>
      <c r="D125" s="37"/>
      <c r="E125" s="37"/>
    </row>
    <row r="126" spans="1:5" x14ac:dyDescent="0.35">
      <c r="A126" s="32" t="s">
        <v>78</v>
      </c>
      <c r="B126" s="37"/>
      <c r="C126" s="37"/>
      <c r="D126" s="37"/>
      <c r="E126" s="37"/>
    </row>
    <row r="127" spans="1:5" x14ac:dyDescent="0.35">
      <c r="A127" s="32" t="s">
        <v>79</v>
      </c>
      <c r="B127" s="37"/>
      <c r="C127" s="37"/>
      <c r="D127" s="37"/>
      <c r="E127" s="37"/>
    </row>
    <row r="128" spans="1:5" x14ac:dyDescent="0.35">
      <c r="A128" s="32" t="s">
        <v>272</v>
      </c>
      <c r="B128" s="37"/>
      <c r="C128" s="37"/>
      <c r="D128" s="37"/>
      <c r="E128" s="37"/>
    </row>
    <row r="129" spans="1:5" ht="26" x14ac:dyDescent="0.35">
      <c r="A129" s="31" t="s">
        <v>320</v>
      </c>
      <c r="B129" s="37"/>
      <c r="C129" s="37"/>
      <c r="D129" s="37"/>
      <c r="E129" s="37"/>
    </row>
    <row r="130" spans="1:5" x14ac:dyDescent="0.35">
      <c r="A130" s="31" t="s">
        <v>290</v>
      </c>
      <c r="B130" s="37"/>
      <c r="C130" s="37"/>
      <c r="D130" s="37"/>
      <c r="E130" s="37"/>
    </row>
    <row r="131" spans="1:5" x14ac:dyDescent="0.35">
      <c r="A131" s="31" t="s">
        <v>291</v>
      </c>
      <c r="B131" s="37"/>
      <c r="C131" s="37"/>
      <c r="D131" s="37"/>
      <c r="E131" s="37"/>
    </row>
    <row r="132" spans="1:5" x14ac:dyDescent="0.35">
      <c r="A132" s="31" t="s">
        <v>292</v>
      </c>
      <c r="B132" s="37"/>
      <c r="C132" s="37"/>
      <c r="D132" s="37"/>
      <c r="E132" s="37"/>
    </row>
    <row r="133" spans="1:5" x14ac:dyDescent="0.35">
      <c r="A133" s="32" t="s">
        <v>321</v>
      </c>
      <c r="B133" s="37"/>
      <c r="C133" s="37"/>
      <c r="D133" s="37"/>
      <c r="E133" s="37"/>
    </row>
    <row r="134" spans="1:5" x14ac:dyDescent="0.35">
      <c r="A134" s="32" t="s">
        <v>322</v>
      </c>
      <c r="B134" s="37"/>
      <c r="C134" s="37"/>
      <c r="D134" s="37"/>
      <c r="E134" s="37"/>
    </row>
    <row r="135" spans="1:5" x14ac:dyDescent="0.35">
      <c r="A135" s="32" t="s">
        <v>323</v>
      </c>
      <c r="B135" s="37"/>
      <c r="C135" s="37"/>
      <c r="D135" s="37"/>
      <c r="E135" s="37"/>
    </row>
    <row r="136" spans="1:5" x14ac:dyDescent="0.35">
      <c r="A136" s="32" t="s">
        <v>324</v>
      </c>
      <c r="B136" s="37"/>
      <c r="C136" s="37"/>
      <c r="D136" s="37"/>
      <c r="E136" s="37"/>
    </row>
    <row r="137" spans="1:5" x14ac:dyDescent="0.35">
      <c r="A137" s="32" t="s">
        <v>325</v>
      </c>
      <c r="B137" s="37"/>
      <c r="C137" s="37"/>
      <c r="D137" s="37"/>
      <c r="E137" s="37"/>
    </row>
    <row r="138" spans="1:5" x14ac:dyDescent="0.35">
      <c r="A138" s="32" t="s">
        <v>326</v>
      </c>
      <c r="B138" s="37"/>
      <c r="C138" s="37"/>
      <c r="D138" s="37"/>
      <c r="E138" s="37"/>
    </row>
    <row r="139" spans="1:5" x14ac:dyDescent="0.35">
      <c r="A139" s="32" t="s">
        <v>327</v>
      </c>
      <c r="B139" s="37"/>
      <c r="C139" s="37"/>
      <c r="D139" s="37"/>
      <c r="E139" s="37"/>
    </row>
    <row r="140" spans="1:5" x14ac:dyDescent="0.35">
      <c r="A140" s="32" t="s">
        <v>328</v>
      </c>
      <c r="B140" s="37"/>
      <c r="C140" s="37"/>
      <c r="D140" s="37"/>
      <c r="E140" s="37"/>
    </row>
    <row r="141" spans="1:5" x14ac:dyDescent="0.35">
      <c r="A141" s="32" t="s">
        <v>329</v>
      </c>
      <c r="B141" s="37"/>
      <c r="C141" s="37"/>
      <c r="D141" s="37"/>
      <c r="E141" s="37"/>
    </row>
    <row r="142" spans="1:5" x14ac:dyDescent="0.35">
      <c r="A142" s="32" t="s">
        <v>330</v>
      </c>
      <c r="B142" s="37"/>
      <c r="C142" s="37"/>
      <c r="D142" s="37"/>
      <c r="E142" s="37"/>
    </row>
    <row r="143" spans="1:5" x14ac:dyDescent="0.35">
      <c r="A143" s="32" t="s">
        <v>331</v>
      </c>
      <c r="B143" s="37"/>
      <c r="C143" s="37"/>
      <c r="D143" s="37"/>
      <c r="E143" s="37"/>
    </row>
    <row r="144" spans="1:5" x14ac:dyDescent="0.35">
      <c r="A144" s="32" t="s">
        <v>332</v>
      </c>
      <c r="B144" s="37"/>
      <c r="C144" s="37"/>
      <c r="D144" s="37"/>
      <c r="E144" s="37"/>
    </row>
    <row r="145" spans="1:5" x14ac:dyDescent="0.35">
      <c r="A145" s="32" t="s">
        <v>333</v>
      </c>
      <c r="B145" s="37"/>
      <c r="C145" s="37"/>
      <c r="D145" s="37"/>
      <c r="E145" s="37"/>
    </row>
    <row r="146" spans="1:5" x14ac:dyDescent="0.35">
      <c r="A146" s="32" t="s">
        <v>334</v>
      </c>
      <c r="B146" s="37"/>
      <c r="C146" s="37"/>
      <c r="D146" s="37"/>
      <c r="E146" s="37"/>
    </row>
    <row r="147" spans="1:5" x14ac:dyDescent="0.35">
      <c r="A147" s="32" t="s">
        <v>335</v>
      </c>
      <c r="B147" s="37"/>
      <c r="C147" s="37"/>
      <c r="D147" s="37"/>
      <c r="E147" s="37"/>
    </row>
    <row r="148" spans="1:5" x14ac:dyDescent="0.35">
      <c r="A148" s="32" t="s">
        <v>336</v>
      </c>
      <c r="B148" s="37"/>
      <c r="C148" s="37"/>
      <c r="D148" s="37"/>
      <c r="E148" s="37"/>
    </row>
    <row r="149" spans="1:5" x14ac:dyDescent="0.35">
      <c r="A149" s="32" t="s">
        <v>337</v>
      </c>
      <c r="B149" s="37"/>
      <c r="C149" s="37"/>
      <c r="D149" s="37"/>
      <c r="E149" s="37"/>
    </row>
    <row r="150" spans="1:5" ht="26" x14ac:dyDescent="0.35">
      <c r="A150" s="31" t="s">
        <v>89</v>
      </c>
      <c r="B150" s="37"/>
      <c r="C150" s="37"/>
      <c r="D150" s="37"/>
      <c r="E150" s="37"/>
    </row>
    <row r="151" spans="1:5" x14ac:dyDescent="0.35">
      <c r="A151" s="31" t="s">
        <v>230</v>
      </c>
      <c r="B151" s="37"/>
      <c r="C151" s="37"/>
      <c r="D151" s="37"/>
      <c r="E151" s="37"/>
    </row>
    <row r="152" spans="1:5" x14ac:dyDescent="0.35">
      <c r="A152" s="31" t="s">
        <v>170</v>
      </c>
      <c r="B152" s="37"/>
      <c r="C152" s="37"/>
      <c r="D152" s="37"/>
      <c r="E152" s="37"/>
    </row>
    <row r="153" spans="1:5" x14ac:dyDescent="0.35">
      <c r="A153" s="31" t="s">
        <v>171</v>
      </c>
      <c r="B153" s="37"/>
      <c r="C153" s="37"/>
      <c r="D153" s="37"/>
      <c r="E153" s="37"/>
    </row>
    <row r="154" spans="1:5" x14ac:dyDescent="0.35">
      <c r="A154" s="31" t="s">
        <v>172</v>
      </c>
      <c r="B154" s="37"/>
      <c r="C154" s="37"/>
      <c r="D154" s="37"/>
      <c r="E154" s="37"/>
    </row>
    <row r="155" spans="1:5" x14ac:dyDescent="0.35">
      <c r="A155" s="31" t="s">
        <v>90</v>
      </c>
      <c r="B155" s="37"/>
      <c r="C155" s="37"/>
      <c r="D155" s="37"/>
      <c r="E155" s="37"/>
    </row>
    <row r="156" spans="1:5" x14ac:dyDescent="0.35">
      <c r="A156" s="31" t="s">
        <v>91</v>
      </c>
      <c r="B156" s="37"/>
      <c r="C156" s="37"/>
      <c r="D156" s="37"/>
      <c r="E156" s="37"/>
    </row>
    <row r="157" spans="1:5" x14ac:dyDescent="0.35">
      <c r="A157" s="31" t="s">
        <v>92</v>
      </c>
      <c r="B157" s="37"/>
      <c r="C157" s="37"/>
      <c r="D157" s="37"/>
      <c r="E157" s="37"/>
    </row>
    <row r="158" spans="1:5" x14ac:dyDescent="0.35">
      <c r="A158" s="31" t="s">
        <v>93</v>
      </c>
      <c r="B158" s="37"/>
      <c r="C158" s="37"/>
      <c r="D158" s="37"/>
      <c r="E158" s="37"/>
    </row>
    <row r="159" spans="1:5" x14ac:dyDescent="0.35">
      <c r="A159" s="31" t="s">
        <v>94</v>
      </c>
      <c r="B159" s="37"/>
      <c r="C159" s="37"/>
      <c r="D159" s="37"/>
      <c r="E159" s="37"/>
    </row>
    <row r="160" spans="1:5" x14ac:dyDescent="0.35">
      <c r="A160" s="31" t="s">
        <v>95</v>
      </c>
      <c r="B160" s="37"/>
      <c r="C160" s="37"/>
      <c r="D160" s="37"/>
      <c r="E160" s="37"/>
    </row>
    <row r="161" spans="1:5" x14ac:dyDescent="0.35">
      <c r="A161" s="36" t="s">
        <v>181</v>
      </c>
      <c r="B161" s="37"/>
      <c r="C161" s="37"/>
      <c r="D161" s="37"/>
      <c r="E161" s="37"/>
    </row>
    <row r="162" spans="1:5" x14ac:dyDescent="0.35">
      <c r="A162" s="36" t="s">
        <v>183</v>
      </c>
      <c r="B162" s="37"/>
      <c r="C162" s="37"/>
      <c r="D162" s="37"/>
      <c r="E162" s="37"/>
    </row>
    <row r="163" spans="1:5" x14ac:dyDescent="0.35">
      <c r="A163" s="36" t="s">
        <v>182</v>
      </c>
      <c r="B163" s="37"/>
      <c r="C163" s="37"/>
      <c r="D163" s="37"/>
      <c r="E163" s="37"/>
    </row>
    <row r="164" spans="1:5" x14ac:dyDescent="0.35">
      <c r="A164" s="36" t="s">
        <v>189</v>
      </c>
      <c r="B164" s="37"/>
      <c r="C164" s="37"/>
      <c r="D164" s="37"/>
      <c r="E164" s="37"/>
    </row>
    <row r="165" spans="1:5" x14ac:dyDescent="0.35">
      <c r="A165" s="36" t="s">
        <v>204</v>
      </c>
      <c r="B165" s="37"/>
      <c r="C165" s="37"/>
      <c r="D165" s="37"/>
      <c r="E165" s="37"/>
    </row>
    <row r="166" spans="1:5" x14ac:dyDescent="0.35">
      <c r="A166" s="36" t="s">
        <v>191</v>
      </c>
      <c r="B166" s="37"/>
      <c r="C166" s="37"/>
      <c r="D166" s="37"/>
      <c r="E166" s="37"/>
    </row>
    <row r="167" spans="1:5" x14ac:dyDescent="0.35">
      <c r="A167" s="32" t="s">
        <v>193</v>
      </c>
      <c r="B167" s="37"/>
      <c r="C167" s="37"/>
      <c r="D167" s="37"/>
      <c r="E167" s="37"/>
    </row>
    <row r="168" spans="1:5" x14ac:dyDescent="0.35">
      <c r="A168" s="32" t="s">
        <v>194</v>
      </c>
      <c r="B168" s="37"/>
      <c r="C168" s="37"/>
      <c r="D168" s="37"/>
      <c r="E168" s="37"/>
    </row>
    <row r="169" spans="1:5" x14ac:dyDescent="0.35">
      <c r="A169" s="36" t="s">
        <v>196</v>
      </c>
      <c r="B169" s="37"/>
      <c r="C169" s="37"/>
      <c r="D169" s="37"/>
      <c r="E169" s="37"/>
    </row>
    <row r="170" spans="1:5" x14ac:dyDescent="0.35">
      <c r="A170" s="36" t="s">
        <v>197</v>
      </c>
      <c r="B170" s="37"/>
      <c r="C170" s="37"/>
      <c r="D170" s="37"/>
      <c r="E170" s="37"/>
    </row>
    <row r="171" spans="1:5" x14ac:dyDescent="0.35">
      <c r="A171" s="32" t="s">
        <v>176</v>
      </c>
      <c r="B171" s="37"/>
      <c r="C171" s="37"/>
      <c r="D171" s="37"/>
      <c r="E171" s="37"/>
    </row>
    <row r="172" spans="1:5" x14ac:dyDescent="0.35">
      <c r="A172" s="32" t="s">
        <v>179</v>
      </c>
      <c r="B172" s="37"/>
      <c r="C172" s="37"/>
      <c r="D172" s="37"/>
      <c r="E172" s="37"/>
    </row>
    <row r="173" spans="1:5" x14ac:dyDescent="0.35">
      <c r="A173" s="32" t="s">
        <v>177</v>
      </c>
      <c r="B173" s="37"/>
      <c r="C173" s="37"/>
      <c r="D173" s="37"/>
      <c r="E173" s="37"/>
    </row>
    <row r="174" spans="1:5" x14ac:dyDescent="0.35">
      <c r="A174" s="32" t="s">
        <v>178</v>
      </c>
      <c r="B174" s="37"/>
      <c r="C174" s="37"/>
      <c r="D174" s="37"/>
      <c r="E174" s="37"/>
    </row>
    <row r="175" spans="1:5" x14ac:dyDescent="0.35">
      <c r="A175" s="32" t="s">
        <v>339</v>
      </c>
      <c r="B175" s="37"/>
      <c r="C175" s="37"/>
      <c r="D175" s="37"/>
      <c r="E175" s="37"/>
    </row>
    <row r="176" spans="1:5" x14ac:dyDescent="0.35">
      <c r="A176" s="32" t="s">
        <v>340</v>
      </c>
      <c r="B176" s="37"/>
      <c r="C176" s="37"/>
      <c r="D176" s="37"/>
      <c r="E176" s="37"/>
    </row>
    <row r="177" spans="1:5" x14ac:dyDescent="0.35">
      <c r="A177" s="28" t="s">
        <v>134</v>
      </c>
      <c r="B177" s="37"/>
      <c r="C177" s="37"/>
      <c r="D177" s="37"/>
      <c r="E177" s="37"/>
    </row>
    <row r="178" spans="1:5" x14ac:dyDescent="0.35">
      <c r="A178" s="28" t="s">
        <v>135</v>
      </c>
      <c r="B178" s="37"/>
      <c r="C178" s="37"/>
      <c r="D178" s="37"/>
      <c r="E178" s="37"/>
    </row>
    <row r="179" spans="1:5" x14ac:dyDescent="0.35">
      <c r="A179" s="27" t="s">
        <v>314</v>
      </c>
      <c r="B179" s="37"/>
      <c r="C179" s="37"/>
      <c r="D179" s="37"/>
      <c r="E179" s="37"/>
    </row>
    <row r="180" spans="1:5" x14ac:dyDescent="0.35">
      <c r="A180" s="27" t="s">
        <v>313</v>
      </c>
      <c r="B180" s="37"/>
      <c r="C180" s="37"/>
      <c r="D180" s="37"/>
      <c r="E180" s="37"/>
    </row>
    <row r="181" spans="1:5" x14ac:dyDescent="0.35">
      <c r="A181" s="27" t="s">
        <v>315</v>
      </c>
      <c r="B181" s="37"/>
      <c r="C181" s="37"/>
      <c r="D181" s="37"/>
      <c r="E181" s="37"/>
    </row>
    <row r="182" spans="1:5" x14ac:dyDescent="0.35">
      <c r="A182" s="27" t="s">
        <v>316</v>
      </c>
      <c r="B182" s="37"/>
      <c r="C182" s="37"/>
      <c r="D182" s="37"/>
      <c r="E182" s="37"/>
    </row>
    <row r="183" spans="1:5" x14ac:dyDescent="0.35">
      <c r="A183" s="27" t="s">
        <v>317</v>
      </c>
      <c r="B183" s="37"/>
      <c r="C183" s="37"/>
      <c r="D183" s="37"/>
      <c r="E183" s="37"/>
    </row>
    <row r="184" spans="1:5" x14ac:dyDescent="0.35">
      <c r="A184" s="27" t="s">
        <v>318</v>
      </c>
      <c r="B184" s="37"/>
      <c r="C184" s="37"/>
      <c r="D184" s="37"/>
      <c r="E184" s="37"/>
    </row>
    <row r="185" spans="1:5" x14ac:dyDescent="0.35">
      <c r="A185" s="45" t="s">
        <v>346</v>
      </c>
      <c r="B185" s="37"/>
      <c r="C185" s="37"/>
      <c r="D185" s="37"/>
      <c r="E185" s="37"/>
    </row>
    <row r="186" spans="1:5" x14ac:dyDescent="0.35">
      <c r="A186" s="27" t="s">
        <v>347</v>
      </c>
      <c r="B186" s="37"/>
      <c r="C186" s="37"/>
      <c r="D186" s="37"/>
      <c r="E186" s="37"/>
    </row>
  </sheetData>
  <sheetProtection algorithmName="SHA-512" hashValue="fhV+Mmadn3AnMOhnyTveJDUQqrJYuv+3VzYz+f7ekpWxmccrwWnAGTImunpxvZSZjmwF9i2JM1lDO4scOW22qA==" saltValue="VBnC8kjVWR4wtbB8BA1V6Q==" spinCount="100000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defaultRowHeight="14.5" x14ac:dyDescent="0.35"/>
  <sheetData/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00"/>
  </sheetPr>
  <dimension ref="A1:I33"/>
  <sheetViews>
    <sheetView showGridLines="0" showRowColHeaders="0" showRuler="0" view="pageBreakPreview" zoomScaleNormal="100" zoomScaleSheetLayoutView="100" workbookViewId="0">
      <selection activeCell="H30" sqref="H30"/>
    </sheetView>
  </sheetViews>
  <sheetFormatPr defaultRowHeight="14.5" x14ac:dyDescent="0.35"/>
  <cols>
    <col min="1" max="1" width="17.26953125" customWidth="1"/>
    <col min="2" max="2" width="11.453125" customWidth="1"/>
    <col min="3" max="3" width="7.81640625" customWidth="1"/>
    <col min="4" max="4" width="7.1796875" customWidth="1"/>
    <col min="5" max="5" width="15.7265625" customWidth="1"/>
    <col min="6" max="6" width="12.453125" customWidth="1"/>
    <col min="7" max="7" width="12.54296875" customWidth="1"/>
    <col min="8" max="8" width="10" customWidth="1"/>
    <col min="9" max="9" width="5.1796875" customWidth="1"/>
  </cols>
  <sheetData>
    <row r="1" spans="1:9" ht="25" customHeight="1" x14ac:dyDescent="0.65">
      <c r="D1" s="235" t="s">
        <v>0</v>
      </c>
      <c r="E1" s="235"/>
      <c r="F1" s="235"/>
      <c r="G1" s="235"/>
      <c r="H1" s="235"/>
      <c r="I1" s="3"/>
    </row>
    <row r="2" spans="1:9" ht="15.65" customHeight="1" x14ac:dyDescent="0.35">
      <c r="D2" s="236" t="s">
        <v>1</v>
      </c>
      <c r="E2" s="236"/>
      <c r="F2" s="236"/>
      <c r="G2" s="236"/>
      <c r="H2" s="236"/>
      <c r="I2" s="4"/>
    </row>
    <row r="3" spans="1:9" ht="18.649999999999999" customHeight="1" x14ac:dyDescent="0.35">
      <c r="D3" s="237" t="s">
        <v>2</v>
      </c>
      <c r="E3" s="237"/>
      <c r="F3" s="237"/>
      <c r="G3" s="237"/>
      <c r="H3" s="237"/>
      <c r="I3" s="1"/>
    </row>
    <row r="4" spans="1:9" ht="6.75" customHeight="1" x14ac:dyDescent="0.35"/>
    <row r="5" spans="1:9" ht="16" customHeight="1" x14ac:dyDescent="0.35">
      <c r="A5" s="46" t="s">
        <v>276</v>
      </c>
      <c r="B5" s="243" t="s">
        <v>216</v>
      </c>
      <c r="C5" s="243"/>
      <c r="D5" s="243"/>
      <c r="E5" s="243"/>
      <c r="F5" s="47">
        <f>Скидка!B15</f>
        <v>43159</v>
      </c>
      <c r="G5" s="48"/>
      <c r="H5" s="49"/>
      <c r="I5" s="9"/>
    </row>
    <row r="6" spans="1:9" ht="3.75" customHeight="1" thickBot="1" x14ac:dyDescent="0.4">
      <c r="A6" s="50"/>
      <c r="B6" s="50"/>
      <c r="C6" s="50"/>
      <c r="D6" s="50"/>
      <c r="E6" s="50"/>
      <c r="F6" s="50"/>
      <c r="G6" s="50"/>
      <c r="H6" s="50"/>
    </row>
    <row r="7" spans="1:9" ht="8.25" customHeight="1" x14ac:dyDescent="0.35">
      <c r="A7" s="244" t="s">
        <v>625</v>
      </c>
      <c r="B7" s="244"/>
      <c r="C7" s="244"/>
      <c r="D7" s="244"/>
      <c r="E7" s="244"/>
      <c r="F7" s="244"/>
      <c r="G7" s="244"/>
      <c r="H7" s="246" t="s">
        <v>238</v>
      </c>
      <c r="I7" s="7"/>
    </row>
    <row r="8" spans="1:9" ht="33" customHeight="1" thickBot="1" x14ac:dyDescent="0.4">
      <c r="A8" s="245"/>
      <c r="B8" s="245"/>
      <c r="C8" s="245"/>
      <c r="D8" s="245"/>
      <c r="E8" s="245"/>
      <c r="F8" s="245"/>
      <c r="G8" s="245"/>
      <c r="H8" s="247"/>
      <c r="I8" s="8"/>
    </row>
    <row r="9" spans="1:9" ht="21" customHeight="1" x14ac:dyDescent="0.35">
      <c r="A9" s="253" t="s">
        <v>3</v>
      </c>
      <c r="B9" s="255" t="s">
        <v>27</v>
      </c>
      <c r="C9" s="261" t="s">
        <v>28</v>
      </c>
      <c r="D9" s="261"/>
      <c r="E9" s="261"/>
      <c r="F9" s="261"/>
      <c r="G9" s="249" t="s">
        <v>214</v>
      </c>
      <c r="H9" s="51" t="s">
        <v>213</v>
      </c>
    </row>
    <row r="10" spans="1:9" ht="25.5" customHeight="1" thickBot="1" x14ac:dyDescent="0.4">
      <c r="A10" s="254"/>
      <c r="B10" s="256"/>
      <c r="C10" s="257" t="s">
        <v>443</v>
      </c>
      <c r="D10" s="258"/>
      <c r="E10" s="259" t="s">
        <v>32</v>
      </c>
      <c r="F10" s="260"/>
      <c r="G10" s="250"/>
      <c r="H10" s="176">
        <f>Скидка!B3</f>
        <v>0</v>
      </c>
    </row>
    <row r="11" spans="1:9" ht="22" customHeight="1" thickBot="1" x14ac:dyDescent="0.4">
      <c r="A11" s="270" t="s">
        <v>509</v>
      </c>
      <c r="B11" s="271"/>
      <c r="C11" s="271"/>
      <c r="D11" s="271"/>
      <c r="E11" s="271"/>
      <c r="F11" s="271"/>
      <c r="G11" s="271"/>
      <c r="H11" s="272"/>
    </row>
    <row r="12" spans="1:9" ht="35.15" customHeight="1" x14ac:dyDescent="0.35">
      <c r="A12" s="203" t="s">
        <v>451</v>
      </c>
      <c r="B12" s="204">
        <v>7</v>
      </c>
      <c r="C12" s="262" t="s">
        <v>29</v>
      </c>
      <c r="D12" s="262"/>
      <c r="E12" s="262" t="s">
        <v>504</v>
      </c>
      <c r="F12" s="262"/>
      <c r="G12" s="170">
        <f>8135.6*Скидка!B18*(1+Скидка!B21/100)</f>
        <v>9600.0079999999998</v>
      </c>
      <c r="H12" s="205">
        <f>G12*(1-(Скидка!B3/100))</f>
        <v>9600.0079999999998</v>
      </c>
    </row>
    <row r="13" spans="1:9" ht="33.65" customHeight="1" x14ac:dyDescent="0.35">
      <c r="A13" s="206" t="s">
        <v>452</v>
      </c>
      <c r="B13" s="207">
        <v>11</v>
      </c>
      <c r="C13" s="276" t="s">
        <v>29</v>
      </c>
      <c r="D13" s="276"/>
      <c r="E13" s="276" t="s">
        <v>503</v>
      </c>
      <c r="F13" s="276"/>
      <c r="G13" s="60">
        <f>10762.7*Скидка!B18*(1+Скидка!B21/100)</f>
        <v>12699.986000000001</v>
      </c>
      <c r="H13" s="76">
        <f>G13*(1-(Скидка!B3/100))</f>
        <v>12699.986000000001</v>
      </c>
    </row>
    <row r="14" spans="1:9" ht="23.5" customHeight="1" x14ac:dyDescent="0.35">
      <c r="A14" s="273" t="s">
        <v>619</v>
      </c>
      <c r="B14" s="274"/>
      <c r="C14" s="274"/>
      <c r="D14" s="274"/>
      <c r="E14" s="274"/>
      <c r="F14" s="274"/>
      <c r="G14" s="274"/>
      <c r="H14" s="275"/>
    </row>
    <row r="15" spans="1:9" ht="30" customHeight="1" x14ac:dyDescent="0.35">
      <c r="A15" s="68" t="s">
        <v>493</v>
      </c>
      <c r="B15" s="53">
        <v>8</v>
      </c>
      <c r="C15" s="242" t="s">
        <v>29</v>
      </c>
      <c r="D15" s="242"/>
      <c r="E15" s="242" t="s">
        <v>473</v>
      </c>
      <c r="F15" s="242"/>
      <c r="G15" s="54">
        <f>11228.8*Скидка!B18*(1+Скидка!B21/100)</f>
        <v>13249.983999999999</v>
      </c>
      <c r="H15" s="76">
        <f>G15*(1-(Скидка!B3/100))</f>
        <v>13249.983999999999</v>
      </c>
    </row>
    <row r="16" spans="1:9" ht="34.5" customHeight="1" x14ac:dyDescent="0.35">
      <c r="A16" s="208" t="s">
        <v>494</v>
      </c>
      <c r="B16" s="53">
        <v>10</v>
      </c>
      <c r="C16" s="242" t="s">
        <v>30</v>
      </c>
      <c r="D16" s="242"/>
      <c r="E16" s="242" t="s">
        <v>577</v>
      </c>
      <c r="F16" s="242"/>
      <c r="G16" s="54">
        <f>13559*Скидка!B18*(1+Скидка!B21/100)</f>
        <v>15999.619999999999</v>
      </c>
      <c r="H16" s="76">
        <f>G16*(1-(Скидка!B3/100))</f>
        <v>15999.619999999999</v>
      </c>
    </row>
    <row r="17" spans="1:9" ht="36.65" customHeight="1" x14ac:dyDescent="0.35">
      <c r="A17" s="208" t="s">
        <v>495</v>
      </c>
      <c r="B17" s="53">
        <v>12</v>
      </c>
      <c r="C17" s="242" t="s">
        <v>29</v>
      </c>
      <c r="D17" s="242"/>
      <c r="E17" s="242" t="s">
        <v>578</v>
      </c>
      <c r="F17" s="242"/>
      <c r="G17" s="122">
        <f>14322*Скидка!B18*(1+Скидка!B21/100)*(1+Лист1!B9/100)*(1+Лист1!C9/100)*(1+Лист1!D9/100)*(1+Лист1!E9/100)</f>
        <v>16899.96</v>
      </c>
      <c r="H17" s="76">
        <f>G17*(1-(Скидка!B3/100))</f>
        <v>16899.96</v>
      </c>
    </row>
    <row r="18" spans="1:9" ht="36" customHeight="1" x14ac:dyDescent="0.35">
      <c r="A18" s="208" t="s">
        <v>453</v>
      </c>
      <c r="B18" s="53">
        <v>14</v>
      </c>
      <c r="C18" s="251" t="s">
        <v>30</v>
      </c>
      <c r="D18" s="252"/>
      <c r="E18" s="242" t="s">
        <v>579</v>
      </c>
      <c r="F18" s="242"/>
      <c r="G18" s="122">
        <f>15000*Скидка!B18*(1+Скидка!B21/100)*(1+Лист1!B11/100)*(1+Лист1!C11/100)*(1+Лист1!D11/100)*(1+Лист1!E11/100)</f>
        <v>17700</v>
      </c>
      <c r="H18" s="76">
        <f>G18*(1-(Скидка!B3/100))</f>
        <v>17700</v>
      </c>
    </row>
    <row r="19" spans="1:9" ht="33.65" customHeight="1" x14ac:dyDescent="0.35">
      <c r="A19" s="208" t="s">
        <v>499</v>
      </c>
      <c r="B19" s="53">
        <v>16</v>
      </c>
      <c r="C19" s="251" t="s">
        <v>30</v>
      </c>
      <c r="D19" s="252"/>
      <c r="E19" s="251" t="s">
        <v>505</v>
      </c>
      <c r="F19" s="252"/>
      <c r="G19" s="122">
        <f>18135.6*Скидка!B18*(1+Скидка!B21/100)*(1+Лист1!B14/100)*(1+Лист1!C14/100)*(1+Лист1!D14/100)*(1+Лист1!E14/100)</f>
        <v>21400.007999999998</v>
      </c>
      <c r="H19" s="76">
        <f>G19*(1-(Скидка!B3/100))</f>
        <v>21400.007999999998</v>
      </c>
    </row>
    <row r="20" spans="1:9" ht="33.65" customHeight="1" x14ac:dyDescent="0.35">
      <c r="A20" s="208" t="s">
        <v>502</v>
      </c>
      <c r="B20" s="53">
        <v>16</v>
      </c>
      <c r="C20" s="251" t="s">
        <v>30</v>
      </c>
      <c r="D20" s="252"/>
      <c r="E20" s="251" t="s">
        <v>584</v>
      </c>
      <c r="F20" s="252"/>
      <c r="G20" s="122">
        <f>19576.27*Скидка!B18*(1+Скидка!B21/100)*(1+Лист1!B15/100)*(1+Лист1!C15/100)*(1+Лист1!D15/100)*(1+Лист1!E15/100)</f>
        <v>23099.998599999999</v>
      </c>
      <c r="H20" s="76">
        <f>G20*(1-(Скидка!B3/100))</f>
        <v>23099.998599999999</v>
      </c>
    </row>
    <row r="21" spans="1:9" ht="36.65" customHeight="1" x14ac:dyDescent="0.35">
      <c r="A21" s="52" t="s">
        <v>23</v>
      </c>
      <c r="B21" s="53">
        <v>20</v>
      </c>
      <c r="C21" s="242" t="s">
        <v>30</v>
      </c>
      <c r="D21" s="242"/>
      <c r="E21" s="242" t="s">
        <v>506</v>
      </c>
      <c r="F21" s="242"/>
      <c r="G21" s="122">
        <f>18474.6*Скидка!B18*(1+Скидка!B21/100)*(1+Лист1!B21/100)*(1+Лист1!C21/100)*(1+Лист1!D21/100)*(1+Лист1!E21/100)</f>
        <v>21800.027999999998</v>
      </c>
      <c r="H21" s="76">
        <f>G21*(1-(Скидка!B3/100))</f>
        <v>21800.027999999998</v>
      </c>
    </row>
    <row r="22" spans="1:9" ht="38.5" customHeight="1" x14ac:dyDescent="0.35">
      <c r="A22" s="52" t="s">
        <v>605</v>
      </c>
      <c r="B22" s="53">
        <v>20</v>
      </c>
      <c r="C22" s="242" t="s">
        <v>31</v>
      </c>
      <c r="D22" s="242"/>
      <c r="E22" s="242" t="s">
        <v>474</v>
      </c>
      <c r="F22" s="242"/>
      <c r="G22" s="122">
        <f>20254.2*Скидка!B18*(1+Скидка!B21/100)*(1+Лист1!B22/100)*(1+Лист1!C22/100)*(1+Лист1!D22/100)*(1+Лист1!E22/100)</f>
        <v>23899.955999999998</v>
      </c>
      <c r="H22" s="76">
        <f>G22*(1-(Скидка!B3/100))</f>
        <v>23899.955999999998</v>
      </c>
    </row>
    <row r="23" spans="1:9" ht="41.15" customHeight="1" x14ac:dyDescent="0.35">
      <c r="A23" s="208" t="s">
        <v>454</v>
      </c>
      <c r="B23" s="53">
        <v>20</v>
      </c>
      <c r="C23" s="242" t="s">
        <v>31</v>
      </c>
      <c r="D23" s="242"/>
      <c r="E23" s="242" t="s">
        <v>507</v>
      </c>
      <c r="F23" s="242"/>
      <c r="G23" s="122">
        <f>18559*Скидка!B18*(1+Скидка!B21/100)*(1+Лист1!B23/100)*(1+Лист1!C23/100)*(1+Лист1!D23/100)*(1+Лист1!E23/100)</f>
        <v>21899.62</v>
      </c>
      <c r="H23" s="76">
        <f>G23*(1-(Скидка!B3/100))</f>
        <v>21899.62</v>
      </c>
    </row>
    <row r="24" spans="1:9" ht="35.15" customHeight="1" x14ac:dyDescent="0.35">
      <c r="A24" s="208" t="s">
        <v>455</v>
      </c>
      <c r="B24" s="53">
        <v>20</v>
      </c>
      <c r="C24" s="242" t="s">
        <v>31</v>
      </c>
      <c r="D24" s="242"/>
      <c r="E24" s="242" t="s">
        <v>508</v>
      </c>
      <c r="F24" s="242"/>
      <c r="G24" s="122">
        <f>19915*Скидка!B18*(1+Скидка!B21/100)*(1+Лист1!B24/100)*(1+Лист1!C24/100)*(1+Лист1!D24/100)*(1+Лист1!E24/100)</f>
        <v>23499.699999999997</v>
      </c>
      <c r="H24" s="76">
        <f>G24*(1-(Скидка!B3/100))</f>
        <v>23499.699999999997</v>
      </c>
    </row>
    <row r="25" spans="1:9" ht="35.15" customHeight="1" x14ac:dyDescent="0.35">
      <c r="A25" s="52" t="s">
        <v>608</v>
      </c>
      <c r="B25" s="53">
        <v>30</v>
      </c>
      <c r="C25" s="242" t="s">
        <v>30</v>
      </c>
      <c r="D25" s="242"/>
      <c r="E25" s="242" t="s">
        <v>610</v>
      </c>
      <c r="F25" s="242"/>
      <c r="G25" s="122">
        <f>23686.4*Скидка!B18*(1+Скидка!B21/100)*(1+Лист1!B23/100)*(1+Лист1!C23/100)*(1+Лист1!D23/100)*(1+Лист1!E23/100)</f>
        <v>27949.952000000001</v>
      </c>
      <c r="H25" s="76">
        <f>G25*(1-(Скидка!B3/100))</f>
        <v>27949.952000000001</v>
      </c>
    </row>
    <row r="26" spans="1:9" ht="38.5" customHeight="1" thickBot="1" x14ac:dyDescent="0.4">
      <c r="A26" s="168" t="s">
        <v>609</v>
      </c>
      <c r="B26" s="169">
        <v>30</v>
      </c>
      <c r="C26" s="263" t="s">
        <v>30</v>
      </c>
      <c r="D26" s="263"/>
      <c r="E26" s="263" t="s">
        <v>611</v>
      </c>
      <c r="F26" s="263"/>
      <c r="G26" s="126">
        <f>26652.54*Скидка!B18*(1+Скидка!B21/100)*(1+Лист1!B24/100)*(1+Лист1!C24/100)*(1+Лист1!D24/100)*(1+Лист1!E24/100)</f>
        <v>31449.997199999998</v>
      </c>
      <c r="H26" s="79">
        <f>G26*(1-(Скидка!B3/100))</f>
        <v>31449.997199999998</v>
      </c>
    </row>
    <row r="27" spans="1:9" ht="20.5" customHeight="1" thickBot="1" x14ac:dyDescent="0.4">
      <c r="A27" s="264" t="s">
        <v>621</v>
      </c>
      <c r="B27" s="265"/>
      <c r="C27" s="265"/>
      <c r="D27" s="265"/>
      <c r="E27" s="265"/>
      <c r="F27" s="265"/>
      <c r="G27" s="265"/>
      <c r="H27" s="266"/>
    </row>
    <row r="28" spans="1:9" ht="45.5" customHeight="1" x14ac:dyDescent="0.35">
      <c r="A28" s="218" t="s">
        <v>622</v>
      </c>
      <c r="B28" s="216">
        <v>15</v>
      </c>
      <c r="C28" s="267" t="s">
        <v>631</v>
      </c>
      <c r="D28" s="267"/>
      <c r="E28" s="267"/>
      <c r="F28" s="267"/>
      <c r="G28" s="217">
        <f>20084.75*Скидка!B18*(1+Скидка!B21/100)*(1+Лист1!B25/100)*(1+Лист1!C25/100)*(1+Лист1!D25/100)*(1+Лист1!E25/100)</f>
        <v>23700.004999999997</v>
      </c>
      <c r="H28" s="219">
        <f>G28*(1-(Скидка!B3/100))</f>
        <v>23700.004999999997</v>
      </c>
    </row>
    <row r="29" spans="1:9" ht="45" customHeight="1" x14ac:dyDescent="0.35">
      <c r="A29" s="220" t="s">
        <v>623</v>
      </c>
      <c r="B29" s="214">
        <v>25</v>
      </c>
      <c r="C29" s="268"/>
      <c r="D29" s="268"/>
      <c r="E29" s="268"/>
      <c r="F29" s="268"/>
      <c r="G29" s="215">
        <f>24406.78*Скидка!B18*(1+Скидка!B21/100)*(1+Лист1!B26/100)*(1+Лист1!C26/100)*(1+Лист1!D26/100)*(1+Лист1!E26/100)</f>
        <v>28800.000399999997</v>
      </c>
      <c r="H29" s="221">
        <f>G29*(1-(Скидка!B3/100))</f>
        <v>28800.000399999997</v>
      </c>
    </row>
    <row r="30" spans="1:9" ht="43" customHeight="1" thickBot="1" x14ac:dyDescent="0.4">
      <c r="A30" s="210" t="s">
        <v>624</v>
      </c>
      <c r="B30" s="211">
        <v>35</v>
      </c>
      <c r="C30" s="269"/>
      <c r="D30" s="269"/>
      <c r="E30" s="269"/>
      <c r="F30" s="269"/>
      <c r="G30" s="212">
        <f>29576.27*Скидка!B18*(1+Скидка!B21/100)*(1+Лист1!B27/100)*(1+Лист1!C27/100)*(1+Лист1!D27/100)*(1+Лист1!E27/100)</f>
        <v>34899.998599999999</v>
      </c>
      <c r="H30" s="213">
        <f>G30*(1-(Скидка!B3/100))</f>
        <v>34899.998599999999</v>
      </c>
    </row>
    <row r="31" spans="1:9" ht="13.5" customHeight="1" x14ac:dyDescent="0.35">
      <c r="A31" s="248" t="s">
        <v>226</v>
      </c>
      <c r="B31" s="248"/>
      <c r="C31" s="248"/>
      <c r="D31" s="248"/>
      <c r="E31" s="248"/>
      <c r="F31" s="248"/>
      <c r="G31" s="18" t="s">
        <v>236</v>
      </c>
      <c r="H31" s="11"/>
    </row>
    <row r="32" spans="1:9" ht="11.5" customHeight="1" x14ac:dyDescent="0.35">
      <c r="A32" s="248" t="s">
        <v>227</v>
      </c>
      <c r="B32" s="248"/>
      <c r="C32" s="248"/>
      <c r="D32" s="248"/>
      <c r="E32" s="248"/>
      <c r="F32" s="248"/>
      <c r="G32" s="17" t="s">
        <v>237</v>
      </c>
      <c r="H32" s="2"/>
      <c r="I32" s="2"/>
    </row>
    <row r="33" spans="9:9" x14ac:dyDescent="0.35">
      <c r="I33" s="2"/>
    </row>
  </sheetData>
  <sheetProtection formatCells="0" formatColumns="0" formatRows="0" insertColumns="0" insertRows="0" insertHyperlinks="0" deleteColumns="0" deleteRows="0" sort="0" autoFilter="0" pivotTables="0"/>
  <mergeCells count="46">
    <mergeCell ref="A27:H27"/>
    <mergeCell ref="C28:F30"/>
    <mergeCell ref="A11:H11"/>
    <mergeCell ref="A14:H14"/>
    <mergeCell ref="E15:F15"/>
    <mergeCell ref="E12:F12"/>
    <mergeCell ref="C13:D13"/>
    <mergeCell ref="E13:F13"/>
    <mergeCell ref="C26:D26"/>
    <mergeCell ref="C20:D20"/>
    <mergeCell ref="E20:F20"/>
    <mergeCell ref="C16:D16"/>
    <mergeCell ref="E16:F16"/>
    <mergeCell ref="C17:D17"/>
    <mergeCell ref="E17:F17"/>
    <mergeCell ref="C22:D22"/>
    <mergeCell ref="A32:F32"/>
    <mergeCell ref="G9:G10"/>
    <mergeCell ref="E19:F19"/>
    <mergeCell ref="C19:D19"/>
    <mergeCell ref="C18:D18"/>
    <mergeCell ref="E18:F18"/>
    <mergeCell ref="A31:F31"/>
    <mergeCell ref="A9:A10"/>
    <mergeCell ref="B9:B10"/>
    <mergeCell ref="C10:D10"/>
    <mergeCell ref="E10:F10"/>
    <mergeCell ref="C9:F9"/>
    <mergeCell ref="C12:D12"/>
    <mergeCell ref="C15:D15"/>
    <mergeCell ref="E26:F26"/>
    <mergeCell ref="E22:F22"/>
    <mergeCell ref="D1:H1"/>
    <mergeCell ref="D2:H2"/>
    <mergeCell ref="D3:H3"/>
    <mergeCell ref="B5:E5"/>
    <mergeCell ref="A7:G8"/>
    <mergeCell ref="H7:H8"/>
    <mergeCell ref="C21:D21"/>
    <mergeCell ref="E21:F21"/>
    <mergeCell ref="C25:D25"/>
    <mergeCell ref="E25:F25"/>
    <mergeCell ref="C24:D24"/>
    <mergeCell ref="E24:F24"/>
    <mergeCell ref="C23:D23"/>
    <mergeCell ref="E23:F23"/>
  </mergeCells>
  <hyperlinks>
    <hyperlink ref="G32" location="'Электропродукция(котлы,ПУЭ,ТЭН)'!A1" display="ПРАЙС"/>
    <hyperlink ref="G31" location="'Комплектующие '!A1" display="Прайс Комплектующие"/>
    <hyperlink ref="A5" location="Оглавление!A1" display="Оглавление"/>
    <hyperlink ref="H10" location="Скидка!A1" display="Скидка!A1"/>
  </hyperlinks>
  <pageMargins left="0.23622047244094491" right="0.17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I73"/>
  <sheetViews>
    <sheetView showGridLines="0" showRowColHeaders="0" showRuler="0" showWhiteSpace="0" view="pageBreakPreview" zoomScaleNormal="100" zoomScaleSheetLayoutView="100" workbookViewId="0">
      <selection activeCell="A5" sqref="A5"/>
    </sheetView>
  </sheetViews>
  <sheetFormatPr defaultRowHeight="14.5" x14ac:dyDescent="0.35"/>
  <cols>
    <col min="1" max="1" width="22.1796875" customWidth="1"/>
    <col min="2" max="2" width="11.54296875" customWidth="1"/>
    <col min="3" max="3" width="7.7265625" customWidth="1"/>
    <col min="4" max="4" width="3.26953125" customWidth="1"/>
    <col min="5" max="5" width="4.54296875" customWidth="1"/>
    <col min="6" max="6" width="23.7265625" customWidth="1"/>
    <col min="7" max="7" width="11.1796875" customWidth="1"/>
    <col min="8" max="8" width="10.81640625" customWidth="1"/>
    <col min="9" max="9" width="3.453125" customWidth="1"/>
  </cols>
  <sheetData>
    <row r="1" spans="1:9" ht="18.75" customHeight="1" x14ac:dyDescent="0.65">
      <c r="D1" s="313" t="s">
        <v>0</v>
      </c>
      <c r="E1" s="313"/>
      <c r="F1" s="313"/>
      <c r="G1" s="313"/>
      <c r="H1" s="313"/>
      <c r="I1" s="3"/>
    </row>
    <row r="2" spans="1:9" ht="15.5" x14ac:dyDescent="0.35">
      <c r="D2" s="236" t="s">
        <v>1</v>
      </c>
      <c r="E2" s="236"/>
      <c r="F2" s="236"/>
      <c r="G2" s="236"/>
      <c r="H2" s="236"/>
      <c r="I2" s="4"/>
    </row>
    <row r="3" spans="1:9" x14ac:dyDescent="0.35">
      <c r="D3" s="237" t="s">
        <v>2</v>
      </c>
      <c r="E3" s="237"/>
      <c r="F3" s="237"/>
      <c r="G3" s="237"/>
      <c r="H3" s="237"/>
      <c r="I3" s="1"/>
    </row>
    <row r="4" spans="1:9" ht="7.5" customHeight="1" x14ac:dyDescent="0.35"/>
    <row r="5" spans="1:9" ht="15.5" x14ac:dyDescent="0.35">
      <c r="A5" s="46" t="s">
        <v>276</v>
      </c>
      <c r="B5" s="243" t="s">
        <v>217</v>
      </c>
      <c r="C5" s="243"/>
      <c r="D5" s="243"/>
      <c r="E5" s="243"/>
      <c r="F5" s="47">
        <f>Скидка!B15</f>
        <v>43159</v>
      </c>
      <c r="G5" s="56"/>
      <c r="H5" s="57"/>
      <c r="I5" s="9"/>
    </row>
    <row r="6" spans="1:9" ht="3.75" customHeight="1" thickBot="1" x14ac:dyDescent="0.4">
      <c r="A6" s="50"/>
      <c r="B6" s="50"/>
      <c r="C6" s="50"/>
      <c r="D6" s="50"/>
      <c r="E6" s="50"/>
      <c r="F6" s="50"/>
      <c r="G6" s="50"/>
      <c r="H6" s="50"/>
    </row>
    <row r="7" spans="1:9" ht="15" customHeight="1" x14ac:dyDescent="0.35">
      <c r="A7" s="314" t="s">
        <v>295</v>
      </c>
      <c r="B7" s="314"/>
      <c r="C7" s="314"/>
      <c r="D7" s="314"/>
      <c r="E7" s="314"/>
      <c r="F7" s="314"/>
      <c r="G7" s="314"/>
      <c r="H7" s="315" t="s">
        <v>239</v>
      </c>
      <c r="I7" s="7"/>
    </row>
    <row r="8" spans="1:9" ht="19.5" customHeight="1" thickBot="1" x14ac:dyDescent="0.4">
      <c r="A8" s="245"/>
      <c r="B8" s="245"/>
      <c r="C8" s="245"/>
      <c r="D8" s="245"/>
      <c r="E8" s="245"/>
      <c r="F8" s="245"/>
      <c r="G8" s="245"/>
      <c r="H8" s="316"/>
      <c r="I8" s="8"/>
    </row>
    <row r="9" spans="1:9" ht="25.5" customHeight="1" x14ac:dyDescent="0.35">
      <c r="A9" s="292" t="s">
        <v>3</v>
      </c>
      <c r="B9" s="294" t="s">
        <v>4</v>
      </c>
      <c r="C9" s="295"/>
      <c r="D9" s="295"/>
      <c r="E9" s="295"/>
      <c r="F9" s="296"/>
      <c r="G9" s="300" t="s">
        <v>214</v>
      </c>
      <c r="H9" s="58" t="s">
        <v>213</v>
      </c>
    </row>
    <row r="10" spans="1:9" ht="24.75" customHeight="1" thickBot="1" x14ac:dyDescent="0.4">
      <c r="A10" s="293"/>
      <c r="B10" s="297"/>
      <c r="C10" s="298"/>
      <c r="D10" s="298"/>
      <c r="E10" s="298"/>
      <c r="F10" s="299"/>
      <c r="G10" s="301"/>
      <c r="H10" s="177">
        <f>Скидка!C3</f>
        <v>0</v>
      </c>
    </row>
    <row r="11" spans="1:9" ht="28" customHeight="1" thickBot="1" x14ac:dyDescent="0.4">
      <c r="A11" s="317" t="s">
        <v>73</v>
      </c>
      <c r="B11" s="318"/>
      <c r="C11" s="318"/>
      <c r="D11" s="318"/>
      <c r="E11" s="318"/>
      <c r="F11" s="318"/>
      <c r="G11" s="318"/>
      <c r="H11" s="319"/>
    </row>
    <row r="12" spans="1:9" ht="23.5" customHeight="1" x14ac:dyDescent="0.35">
      <c r="A12" s="59" t="s">
        <v>222</v>
      </c>
      <c r="B12" s="320" t="s">
        <v>360</v>
      </c>
      <c r="C12" s="321"/>
      <c r="D12" s="321"/>
      <c r="E12" s="321"/>
      <c r="F12" s="322"/>
      <c r="G12" s="60">
        <f>423.7*Скидка!B18*(1+Скидка!B21/100)*(1+Лист1!B25/100)*(1+Лист1!C25/100)*(1+Лист1!D25/100)*(1+Лист1!E25/100)</f>
        <v>499.96599999999995</v>
      </c>
      <c r="H12" s="170">
        <f>G12*(1-(Скидка!C3/100))</f>
        <v>499.96599999999995</v>
      </c>
    </row>
    <row r="13" spans="1:9" ht="23.5" customHeight="1" thickBot="1" x14ac:dyDescent="0.4">
      <c r="A13" s="62" t="s">
        <v>223</v>
      </c>
      <c r="B13" s="326" t="s">
        <v>361</v>
      </c>
      <c r="C13" s="327"/>
      <c r="D13" s="327"/>
      <c r="E13" s="327"/>
      <c r="F13" s="328"/>
      <c r="G13" s="63">
        <f>440.7*Скидка!B18*(1+Скидка!B21/100)*(1+Лист1!B26/100)*(1+Лист1!C26/100)*(1+Лист1!D26/100)*(1+Лист1!E26/100)</f>
        <v>520.02599999999995</v>
      </c>
      <c r="H13" s="171">
        <f>G13*(1-(Скидка!C3/100))</f>
        <v>520.02599999999995</v>
      </c>
    </row>
    <row r="14" spans="1:9" ht="28" customHeight="1" thickBot="1" x14ac:dyDescent="0.4">
      <c r="A14" s="317" t="s">
        <v>80</v>
      </c>
      <c r="B14" s="318"/>
      <c r="C14" s="318"/>
      <c r="D14" s="318"/>
      <c r="E14" s="318"/>
      <c r="F14" s="318"/>
      <c r="G14" s="318"/>
      <c r="H14" s="319"/>
    </row>
    <row r="15" spans="1:9" ht="36.75" customHeight="1" thickBot="1" x14ac:dyDescent="0.4">
      <c r="A15" s="64" t="s">
        <v>81</v>
      </c>
      <c r="B15" s="323" t="s">
        <v>456</v>
      </c>
      <c r="C15" s="324"/>
      <c r="D15" s="324"/>
      <c r="E15" s="324"/>
      <c r="F15" s="325"/>
      <c r="G15" s="65">
        <f>254.2*Скидка!B18*(1+Скидка!B21/100)*(1+Лист1!B27/100)*(1+Лист1!C27/100)*(1+Лист1!D27/100)*(1+Лист1!E27/100)</f>
        <v>299.95599999999996</v>
      </c>
      <c r="H15" s="172">
        <f>G15*(1-(Скидка!C3/100))</f>
        <v>299.95599999999996</v>
      </c>
    </row>
    <row r="16" spans="1:9" ht="28.4" customHeight="1" thickBot="1" x14ac:dyDescent="0.4">
      <c r="A16" s="270" t="s">
        <v>169</v>
      </c>
      <c r="B16" s="271"/>
      <c r="C16" s="271"/>
      <c r="D16" s="271"/>
      <c r="E16" s="271"/>
      <c r="F16" s="271"/>
      <c r="G16" s="271"/>
      <c r="H16" s="271"/>
    </row>
    <row r="17" spans="1:8" ht="28.4" customHeight="1" x14ac:dyDescent="0.35">
      <c r="A17" s="66" t="s">
        <v>260</v>
      </c>
      <c r="B17" s="291" t="s">
        <v>459</v>
      </c>
      <c r="C17" s="291"/>
      <c r="D17" s="291"/>
      <c r="E17" s="291"/>
      <c r="F17" s="291"/>
      <c r="G17" s="67">
        <f>67.8*Скидка!B18*(1+Скидка!B21/100)</f>
        <v>80.003999999999991</v>
      </c>
      <c r="H17" s="170">
        <f>G17*(1-(Скидка!C3/100))</f>
        <v>80.003999999999991</v>
      </c>
    </row>
    <row r="18" spans="1:8" ht="28.4" customHeight="1" x14ac:dyDescent="0.35">
      <c r="A18" s="68" t="s">
        <v>261</v>
      </c>
      <c r="B18" s="302" t="s">
        <v>457</v>
      </c>
      <c r="C18" s="302"/>
      <c r="D18" s="302"/>
      <c r="E18" s="302"/>
      <c r="F18" s="302"/>
      <c r="G18" s="55">
        <f>144*Скидка!B18*(1+Скидка!B21/100)</f>
        <v>169.92</v>
      </c>
      <c r="H18" s="60">
        <f>G18*(1-(Скидка!C3/100))</f>
        <v>169.92</v>
      </c>
    </row>
    <row r="19" spans="1:8" ht="28.4" customHeight="1" x14ac:dyDescent="0.35">
      <c r="A19" s="68" t="s">
        <v>481</v>
      </c>
      <c r="B19" s="302" t="s">
        <v>460</v>
      </c>
      <c r="C19" s="302"/>
      <c r="D19" s="302"/>
      <c r="E19" s="302"/>
      <c r="F19" s="302"/>
      <c r="G19" s="55">
        <f>144*Скидка!B18*(1+Скидка!B21/100)</f>
        <v>169.92</v>
      </c>
      <c r="H19" s="60">
        <f>G19*(1-(Скидка!C3/100))</f>
        <v>169.92</v>
      </c>
    </row>
    <row r="20" spans="1:8" ht="19.75" customHeight="1" x14ac:dyDescent="0.35">
      <c r="A20" s="68" t="s">
        <v>84</v>
      </c>
      <c r="B20" s="302" t="s">
        <v>482</v>
      </c>
      <c r="C20" s="302"/>
      <c r="D20" s="302"/>
      <c r="E20" s="302"/>
      <c r="F20" s="302"/>
      <c r="G20" s="55">
        <f>169.4*Скидка!B18*(1+Скидка!B21/100)*(1+Лист1!B30/100)*(1+Лист1!C30/100)*(1+Лист1!D30/100)*(1+Лист1!E30/100)</f>
        <v>199.892</v>
      </c>
      <c r="H20" s="60">
        <f>G20*(1-(Скидка!C3/100))</f>
        <v>199.892</v>
      </c>
    </row>
    <row r="21" spans="1:8" ht="19.75" customHeight="1" thickBot="1" x14ac:dyDescent="0.4">
      <c r="A21" s="69" t="s">
        <v>85</v>
      </c>
      <c r="B21" s="277" t="s">
        <v>483</v>
      </c>
      <c r="C21" s="277"/>
      <c r="D21" s="277"/>
      <c r="E21" s="277"/>
      <c r="F21" s="277"/>
      <c r="G21" s="70">
        <f>110*Скидка!B18*(1+Скидка!B21/100)*(1+Лист1!B31/100)*(1+Лист1!C31/100)*(1+Лист1!D31/100)*(1+Лист1!E31/100)</f>
        <v>129.79999999999998</v>
      </c>
      <c r="H21" s="173">
        <f>G21*(1-(Скидка!C3/100))</f>
        <v>129.79999999999998</v>
      </c>
    </row>
    <row r="22" spans="1:8" ht="28.4" customHeight="1" thickBot="1" x14ac:dyDescent="0.4">
      <c r="A22" s="270" t="s">
        <v>269</v>
      </c>
      <c r="B22" s="271"/>
      <c r="C22" s="271"/>
      <c r="D22" s="271"/>
      <c r="E22" s="271"/>
      <c r="F22" s="271"/>
      <c r="G22" s="271"/>
      <c r="H22" s="272"/>
    </row>
    <row r="23" spans="1:8" ht="51" customHeight="1" thickBot="1" x14ac:dyDescent="0.4">
      <c r="A23" s="71" t="s">
        <v>86</v>
      </c>
      <c r="B23" s="291" t="s">
        <v>626</v>
      </c>
      <c r="C23" s="291"/>
      <c r="D23" s="291"/>
      <c r="E23" s="291"/>
      <c r="F23" s="291"/>
      <c r="G23" s="67">
        <f>1864.41*Скидка!B18*(1+Скидка!B21/100)*(1+Лист1!B32/100)*(1+Лист1!C32/100)*(1+Лист1!D32/100)*(1+Лист1!E32/100)</f>
        <v>2200.0038</v>
      </c>
      <c r="H23" s="172">
        <f>G23*(1-(Скидка!C3/100))</f>
        <v>2200.0038</v>
      </c>
    </row>
    <row r="24" spans="1:8" ht="28.4" customHeight="1" thickBot="1" x14ac:dyDescent="0.4">
      <c r="A24" s="270" t="s">
        <v>270</v>
      </c>
      <c r="B24" s="271"/>
      <c r="C24" s="271"/>
      <c r="D24" s="271"/>
      <c r="E24" s="271"/>
      <c r="F24" s="271"/>
      <c r="G24" s="271"/>
      <c r="H24" s="272"/>
    </row>
    <row r="25" spans="1:8" ht="28.4" customHeight="1" thickBot="1" x14ac:dyDescent="0.4">
      <c r="A25" s="72" t="s">
        <v>87</v>
      </c>
      <c r="B25" s="305" t="s">
        <v>88</v>
      </c>
      <c r="C25" s="306"/>
      <c r="D25" s="306"/>
      <c r="E25" s="306"/>
      <c r="F25" s="307"/>
      <c r="G25" s="55">
        <f>500*Скидка!B18*(1+Скидка!B21/100)*(1+Лист1!B33/100)*(1+Лист1!C33/100)*(1+Лист1!D33/100)*(1+Лист1!E33/100)</f>
        <v>590</v>
      </c>
      <c r="H25" s="172">
        <f>G25*(1-(Скидка!C3/100))</f>
        <v>590</v>
      </c>
    </row>
    <row r="26" spans="1:8" ht="28.4" customHeight="1" thickBot="1" x14ac:dyDescent="0.4">
      <c r="A26" s="270" t="s">
        <v>101</v>
      </c>
      <c r="B26" s="308"/>
      <c r="C26" s="308"/>
      <c r="D26" s="308"/>
      <c r="E26" s="308"/>
      <c r="F26" s="308"/>
      <c r="G26" s="308"/>
      <c r="H26" s="309"/>
    </row>
    <row r="27" spans="1:8" ht="17.149999999999999" customHeight="1" x14ac:dyDescent="0.35">
      <c r="A27" s="73" t="s">
        <v>102</v>
      </c>
      <c r="B27" s="290" t="s">
        <v>107</v>
      </c>
      <c r="C27" s="290"/>
      <c r="D27" s="290"/>
      <c r="E27" s="290"/>
      <c r="F27" s="290"/>
      <c r="G27" s="74">
        <f>7754*Скидка!B18*(1+Скидка!B21/100)*(1+Лист1!B34/100)*(1+Лист1!C34/100)*(1+Лист1!D34/100)*(1+Лист1!E34/100)</f>
        <v>9149.7199999999993</v>
      </c>
      <c r="H27" s="170">
        <f>G27*(1-(Скидка!C3/100))</f>
        <v>9149.7199999999993</v>
      </c>
    </row>
    <row r="28" spans="1:8" ht="17.149999999999999" customHeight="1" x14ac:dyDescent="0.35">
      <c r="A28" s="75" t="s">
        <v>106</v>
      </c>
      <c r="B28" s="302" t="s">
        <v>108</v>
      </c>
      <c r="C28" s="302"/>
      <c r="D28" s="302"/>
      <c r="E28" s="302"/>
      <c r="F28" s="302"/>
      <c r="G28" s="55">
        <f>8466*Скидка!B18*(1+Скидка!B21/100)*(1+Лист1!B35/100)*(1+Лист1!C35/100)*(1+Лист1!D35/100)*(1+Лист1!E35/100)</f>
        <v>9989.8799999999992</v>
      </c>
      <c r="H28" s="54">
        <f>G28*(1-(Скидка!C3/100))</f>
        <v>9989.8799999999992</v>
      </c>
    </row>
    <row r="29" spans="1:8" x14ac:dyDescent="0.35">
      <c r="A29" s="75" t="s">
        <v>103</v>
      </c>
      <c r="B29" s="302" t="s">
        <v>109</v>
      </c>
      <c r="C29" s="302"/>
      <c r="D29" s="302"/>
      <c r="E29" s="302"/>
      <c r="F29" s="302"/>
      <c r="G29" s="55">
        <f>8855.9*Скидка!B18*(1+Скидка!B21/100)*(1+Лист1!B36/100)*(1+Лист1!C36/100)*(1+Лист1!D36/100)*(1+Лист1!E36/100)</f>
        <v>10449.962</v>
      </c>
      <c r="H29" s="54">
        <f>G29*(1-(Скидка!C3/100))</f>
        <v>10449.962</v>
      </c>
    </row>
    <row r="30" spans="1:8" ht="29.5" thickBot="1" x14ac:dyDescent="0.4">
      <c r="A30" s="77" t="s">
        <v>104</v>
      </c>
      <c r="B30" s="302" t="s">
        <v>110</v>
      </c>
      <c r="C30" s="302"/>
      <c r="D30" s="302"/>
      <c r="E30" s="302"/>
      <c r="F30" s="302"/>
      <c r="G30" s="55">
        <f>10635.6*Скидка!B18*(1+Скидка!B21/100)*(1+Лист1!B37/100)*(1+Лист1!C37/100)*(1+Лист1!D37/100)*(1+Лист1!E37/100)</f>
        <v>12550.008</v>
      </c>
      <c r="H30" s="54">
        <f>G30*(1-(Скидка!C3/100))</f>
        <v>12550.008</v>
      </c>
    </row>
    <row r="31" spans="1:8" ht="119.15" hidden="1" customHeight="1" thickBot="1" x14ac:dyDescent="0.4">
      <c r="A31" s="278"/>
      <c r="B31" s="278"/>
      <c r="C31" s="278"/>
      <c r="D31" s="278"/>
      <c r="E31" s="278"/>
      <c r="F31" s="278"/>
      <c r="G31" s="278"/>
      <c r="H31" s="278"/>
    </row>
    <row r="32" spans="1:8" ht="28.4" customHeight="1" thickBot="1" x14ac:dyDescent="0.4">
      <c r="A32" s="264" t="s">
        <v>233</v>
      </c>
      <c r="B32" s="265"/>
      <c r="C32" s="265"/>
      <c r="D32" s="265"/>
      <c r="E32" s="265"/>
      <c r="F32" s="265"/>
      <c r="G32" s="265"/>
      <c r="H32" s="266"/>
    </row>
    <row r="33" spans="1:8" ht="44" thickBot="1" x14ac:dyDescent="0.4">
      <c r="A33" s="80" t="s">
        <v>205</v>
      </c>
      <c r="B33" s="279" t="s">
        <v>206</v>
      </c>
      <c r="C33" s="280"/>
      <c r="D33" s="280"/>
      <c r="E33" s="280"/>
      <c r="F33" s="281"/>
      <c r="G33" s="81">
        <f>8623*Скидка!B18*(1+Скидка!B21/100)*(1+Лист1!B39/100)*(1+Лист1!C39/100)*(1+Лист1!D39/100)*(1+Лист1!E39/100)</f>
        <v>10175.14</v>
      </c>
      <c r="H33" s="174">
        <f>G33*(1-(Скидка!C3/100))</f>
        <v>10175.14</v>
      </c>
    </row>
    <row r="34" spans="1:8" ht="34" customHeight="1" thickBot="1" x14ac:dyDescent="0.4">
      <c r="A34" s="310" t="s">
        <v>111</v>
      </c>
      <c r="B34" s="311"/>
      <c r="C34" s="311"/>
      <c r="D34" s="311"/>
      <c r="E34" s="311"/>
      <c r="F34" s="311"/>
      <c r="G34" s="311"/>
      <c r="H34" s="312"/>
    </row>
    <row r="35" spans="1:8" ht="34" customHeight="1" x14ac:dyDescent="0.35">
      <c r="A35" s="84" t="s">
        <v>585</v>
      </c>
      <c r="B35" s="287" t="s">
        <v>580</v>
      </c>
      <c r="C35" s="287"/>
      <c r="D35" s="287"/>
      <c r="E35" s="287"/>
      <c r="F35" s="287"/>
      <c r="G35" s="85">
        <f>1491.53*Скидка!B18*(1+Скидка!B21/100)*(1+Лист1!B43/100)*(1+Лист1!C43/100)*(1+Лист1!D43/100)*(1+Лист1!E43/100)</f>
        <v>1760.0053999999998</v>
      </c>
      <c r="H35" s="60">
        <f>G35*(1-(Скидка!C3/100))</f>
        <v>1760.0053999999998</v>
      </c>
    </row>
    <row r="36" spans="1:8" ht="34" customHeight="1" x14ac:dyDescent="0.35">
      <c r="A36" s="84" t="s">
        <v>581</v>
      </c>
      <c r="B36" s="287" t="s">
        <v>582</v>
      </c>
      <c r="C36" s="287"/>
      <c r="D36" s="287"/>
      <c r="E36" s="287"/>
      <c r="F36" s="287"/>
      <c r="G36" s="85">
        <f>576*Скидка!B18*(1+Скидка!B21/100)*(1+Лист1!B45/100)*(1+Лист1!C45/100)*(1+Лист1!D45/100)*(1+Лист1!E45/100)</f>
        <v>679.68</v>
      </c>
      <c r="H36" s="60">
        <f>G36*(1-(Скидка!C3/100))</f>
        <v>679.68</v>
      </c>
    </row>
    <row r="37" spans="1:8" ht="32.5" customHeight="1" x14ac:dyDescent="0.35">
      <c r="A37" s="84" t="s">
        <v>601</v>
      </c>
      <c r="B37" s="287" t="s">
        <v>603</v>
      </c>
      <c r="C37" s="287"/>
      <c r="D37" s="287"/>
      <c r="E37" s="287"/>
      <c r="F37" s="287"/>
      <c r="G37" s="85">
        <f>237.3*Скидка!B18*(1+Скидка!B21/100)*(1+Лист1!B46/100)*(1+Лист1!C46/100)*(1+Лист1!D46/100)*(1+Лист1!E46/100)</f>
        <v>280.01400000000001</v>
      </c>
      <c r="H37" s="60">
        <f>G37*(1-(Скидка!C3/100))</f>
        <v>280.01400000000001</v>
      </c>
    </row>
    <row r="38" spans="1:8" ht="32.5" customHeight="1" x14ac:dyDescent="0.35">
      <c r="A38" s="84" t="s">
        <v>602</v>
      </c>
      <c r="B38" s="287" t="s">
        <v>604</v>
      </c>
      <c r="C38" s="287"/>
      <c r="D38" s="287"/>
      <c r="E38" s="287"/>
      <c r="F38" s="287"/>
      <c r="G38" s="85">
        <f>237.3*Скидка!B18*(1+Скидка!B21/100)*(1+Лист1!B47/100)*(1+Лист1!C47/100)*(1+Лист1!D47/100)*(1+Лист1!E47/100)</f>
        <v>280.01400000000001</v>
      </c>
      <c r="H38" s="60">
        <f>G38*(1-(Скидка!C4/100))</f>
        <v>280.01400000000001</v>
      </c>
    </row>
    <row r="39" spans="1:8" ht="33" customHeight="1" x14ac:dyDescent="0.35">
      <c r="A39" s="84" t="s">
        <v>586</v>
      </c>
      <c r="B39" s="287" t="s">
        <v>614</v>
      </c>
      <c r="C39" s="287"/>
      <c r="D39" s="287"/>
      <c r="E39" s="287"/>
      <c r="F39" s="287"/>
      <c r="G39" s="85">
        <f>1262.7*Скидка!B18*(1+Скидка!B21/100)*(1+Лист1!B47/100)*(1+Лист1!C47/100)*(1+Лист1!D47/100)*(1+Лист1!E47/100)</f>
        <v>1489.9859999999999</v>
      </c>
      <c r="H39" s="60">
        <f>G39*(1-(Скидка!C3/100))</f>
        <v>1489.9859999999999</v>
      </c>
    </row>
    <row r="40" spans="1:8" ht="36.65" customHeight="1" x14ac:dyDescent="0.35">
      <c r="A40" s="84" t="s">
        <v>587</v>
      </c>
      <c r="B40" s="287" t="s">
        <v>613</v>
      </c>
      <c r="C40" s="287"/>
      <c r="D40" s="287"/>
      <c r="E40" s="287"/>
      <c r="F40" s="287"/>
      <c r="G40" s="85">
        <f>703.4*Скидка!B18*(1+Скидка!B21/100)*(1+Лист1!B48/100)*(1+Лист1!C48/100)*(1+Лист1!D48/100)*(1+Лист1!E48/100)</f>
        <v>830.01199999999994</v>
      </c>
      <c r="H40" s="60">
        <f>G40*(1-(Скидка!C3/100))</f>
        <v>830.01199999999994</v>
      </c>
    </row>
    <row r="41" spans="1:8" ht="36.65" customHeight="1" x14ac:dyDescent="0.35">
      <c r="A41" s="84" t="s">
        <v>588</v>
      </c>
      <c r="B41" s="287" t="s">
        <v>612</v>
      </c>
      <c r="C41" s="287"/>
      <c r="D41" s="287"/>
      <c r="E41" s="287"/>
      <c r="F41" s="287"/>
      <c r="G41" s="85">
        <f>1686.44*Скидка!B18*(1+Скидка!B21/100)*(1+Лист1!B50/100)*(1+Лист1!C50/100)*(1+Лист1!D50/100)*(1+Лист1!E50/100)</f>
        <v>1989.9992</v>
      </c>
      <c r="H41" s="60">
        <f>G41*(1-(Скидка!C3/100))</f>
        <v>1989.9992</v>
      </c>
    </row>
    <row r="42" spans="1:8" ht="27" customHeight="1" x14ac:dyDescent="0.35">
      <c r="A42" s="84" t="s">
        <v>589</v>
      </c>
      <c r="B42" s="287" t="s">
        <v>598</v>
      </c>
      <c r="C42" s="287"/>
      <c r="D42" s="287"/>
      <c r="E42" s="287"/>
      <c r="F42" s="287"/>
      <c r="G42" s="85">
        <f>1288.14*Скидка!B18*(1+Скидка!B21/100)*(1+Лист1!B51/100)*(1+Лист1!C51/100)*(1+Лист1!D51/100)*(1+Лист1!E51/100)</f>
        <v>1520.0052000000001</v>
      </c>
      <c r="H42" s="60">
        <f>G42*(1-(Скидка!C3/100))</f>
        <v>1520.0052000000001</v>
      </c>
    </row>
    <row r="43" spans="1:8" ht="28.4" customHeight="1" x14ac:dyDescent="0.35">
      <c r="A43" s="84" t="s">
        <v>590</v>
      </c>
      <c r="B43" s="287" t="s">
        <v>599</v>
      </c>
      <c r="C43" s="287"/>
      <c r="D43" s="287"/>
      <c r="E43" s="287"/>
      <c r="F43" s="287"/>
      <c r="G43" s="85">
        <f>779.66*Скидка!B18*(1+Скидка!B21/100)*(1+Лист1!B52/100)*(1+Лист1!C52/100)*(1+Лист1!D52/100)*(1+Лист1!E52/100)</f>
        <v>919.99879999999996</v>
      </c>
      <c r="H43" s="60">
        <f>G43*(1-(Скидка!C3/100))</f>
        <v>919.99879999999996</v>
      </c>
    </row>
    <row r="44" spans="1:8" ht="28.4" customHeight="1" x14ac:dyDescent="0.35">
      <c r="A44" s="86" t="s">
        <v>591</v>
      </c>
      <c r="B44" s="304" t="s">
        <v>600</v>
      </c>
      <c r="C44" s="304"/>
      <c r="D44" s="304"/>
      <c r="E44" s="304"/>
      <c r="F44" s="304"/>
      <c r="G44" s="87">
        <f>1805*Скидка!B18*(1+Скидка!B21/100)*(1+Лист1!B51/100)*(1+Лист1!C51/100)*(1+Лист1!D51/100)*(1+Лист1!E51/100)</f>
        <v>2129.9</v>
      </c>
      <c r="H44" s="198">
        <f>G44*(1-(Скидка!C3/100))</f>
        <v>2129.9</v>
      </c>
    </row>
    <row r="45" spans="1:8" ht="28.4" customHeight="1" x14ac:dyDescent="0.35">
      <c r="A45" s="84" t="s">
        <v>592</v>
      </c>
      <c r="B45" s="287" t="s">
        <v>595</v>
      </c>
      <c r="C45" s="287"/>
      <c r="D45" s="287"/>
      <c r="E45" s="287"/>
      <c r="F45" s="287"/>
      <c r="G45" s="85">
        <f>1262.71*Скидка!B18*(1+Скидка!B21/100)*(1+Лист1!B52/100)*(1+Лист1!C52/100)*(1+Лист1!D52/100)*(1+Лист1!E52/100)</f>
        <v>1489.9977999999999</v>
      </c>
      <c r="H45" s="54">
        <f>G45*(1-(Скидка!C3/100))</f>
        <v>1489.9977999999999</v>
      </c>
    </row>
    <row r="46" spans="1:8" ht="28.4" customHeight="1" x14ac:dyDescent="0.35">
      <c r="A46" s="84" t="s">
        <v>593</v>
      </c>
      <c r="B46" s="287" t="s">
        <v>596</v>
      </c>
      <c r="C46" s="287"/>
      <c r="D46" s="287"/>
      <c r="E46" s="287"/>
      <c r="F46" s="287"/>
      <c r="G46" s="85">
        <f>703.4*Скидка!B18*(1+Скидка!B21/100)*(1+Лист1!B53/100)*(1+Лист1!C53/100)*(1+Лист1!D53/100)*(1+Лист1!E53/100)</f>
        <v>830.01199999999994</v>
      </c>
      <c r="H46" s="54">
        <f>G46*(1-(Скидка!C3/100))</f>
        <v>830.01199999999994</v>
      </c>
    </row>
    <row r="47" spans="1:8" ht="31.5" customHeight="1" thickBot="1" x14ac:dyDescent="0.4">
      <c r="A47" s="84" t="s">
        <v>594</v>
      </c>
      <c r="B47" s="287" t="s">
        <v>597</v>
      </c>
      <c r="C47" s="287"/>
      <c r="D47" s="287"/>
      <c r="E47" s="287"/>
      <c r="F47" s="287"/>
      <c r="G47" s="85">
        <f>1686.7*Скидка!B18*(1+Скидка!B21/100)*(1+Лист1!B54/100)*(1+Лист1!C54/100)*(1+Лист1!D54/100)*(1+Лист1!E54/100)</f>
        <v>1990.306</v>
      </c>
      <c r="H47" s="54">
        <f>G47*(1-(Скидка!C3/100))</f>
        <v>1990.306</v>
      </c>
    </row>
    <row r="48" spans="1:8" ht="32.15" customHeight="1" thickBot="1" x14ac:dyDescent="0.4">
      <c r="A48" s="270" t="s">
        <v>458</v>
      </c>
      <c r="B48" s="271"/>
      <c r="C48" s="271"/>
      <c r="D48" s="271"/>
      <c r="E48" s="271"/>
      <c r="F48" s="271"/>
      <c r="G48" s="288"/>
      <c r="H48" s="289"/>
    </row>
    <row r="49" spans="1:8" ht="29.5" customHeight="1" x14ac:dyDescent="0.35">
      <c r="A49" s="225" t="s">
        <v>627</v>
      </c>
      <c r="B49" s="284" t="s">
        <v>130</v>
      </c>
      <c r="C49" s="285"/>
      <c r="D49" s="285"/>
      <c r="E49" s="285"/>
      <c r="F49" s="286"/>
      <c r="G49" s="67">
        <f>1220*Скидка!B18*(1+Скидка!B21/100)*(1+Лист1!B55/100)*(1+Лист1!C55/100)*(1+Лист1!D55/100)*(1+Лист1!E55/100)</f>
        <v>1439.6</v>
      </c>
      <c r="H49" s="170">
        <f>G49*(1-(Скидка!C3/100))</f>
        <v>1439.6</v>
      </c>
    </row>
    <row r="50" spans="1:8" ht="30.5" customHeight="1" x14ac:dyDescent="0.35">
      <c r="A50" s="225" t="s">
        <v>628</v>
      </c>
      <c r="B50" s="284" t="s">
        <v>131</v>
      </c>
      <c r="C50" s="285"/>
      <c r="D50" s="285"/>
      <c r="E50" s="285"/>
      <c r="F50" s="286"/>
      <c r="G50" s="67">
        <f>1610*Скидка!B18*(1+Скидка!B21/100)*(1+Лист1!B56/100)*(1+Лист1!C56/100)*(1+Лист1!D56/100)*(1+Лист1!E56/100)</f>
        <v>1899.8</v>
      </c>
      <c r="H50" s="60">
        <f>G50*(1-(Скидка!C3/100))</f>
        <v>1899.8</v>
      </c>
    </row>
    <row r="51" spans="1:8" ht="29.5" customHeight="1" x14ac:dyDescent="0.35">
      <c r="A51" s="225" t="s">
        <v>629</v>
      </c>
      <c r="B51" s="284" t="s">
        <v>132</v>
      </c>
      <c r="C51" s="285"/>
      <c r="D51" s="285"/>
      <c r="E51" s="285"/>
      <c r="F51" s="286"/>
      <c r="G51" s="55">
        <f>1949*Скидка!B18*(1+Скидка!B21/100)*(1+Лист1!B57/100)*(1+Лист1!C57/100)*(1+Лист1!D57/100)*(1+Лист1!E57/100)</f>
        <v>2299.8199999999997</v>
      </c>
      <c r="H51" s="60">
        <f>G51*(1-(Скидка!C3/100))</f>
        <v>2299.8199999999997</v>
      </c>
    </row>
    <row r="52" spans="1:8" ht="29" customHeight="1" thickBot="1" x14ac:dyDescent="0.4">
      <c r="A52" s="226" t="s">
        <v>630</v>
      </c>
      <c r="B52" s="277" t="s">
        <v>133</v>
      </c>
      <c r="C52" s="277"/>
      <c r="D52" s="277"/>
      <c r="E52" s="277"/>
      <c r="F52" s="277"/>
      <c r="G52" s="70">
        <f>2101.7*Скидка!B18*(1+Скидка!B21/100)*(1+Лист1!B58/100)*(1+Лист1!C58/100)*(1+Лист1!D58/100)*(1+Лист1!E58/100)</f>
        <v>2480.0059999999999</v>
      </c>
      <c r="H52" s="171">
        <f>G52*(1-(Скидка!C3/100))</f>
        <v>2480.0059999999999</v>
      </c>
    </row>
    <row r="53" spans="1:8" ht="28.4" customHeight="1" thickBot="1" x14ac:dyDescent="0.4">
      <c r="A53" s="270" t="s">
        <v>583</v>
      </c>
      <c r="B53" s="271"/>
      <c r="C53" s="271"/>
      <c r="D53" s="271"/>
      <c r="E53" s="271"/>
      <c r="F53" s="271"/>
      <c r="G53" s="271"/>
      <c r="H53" s="272"/>
    </row>
    <row r="54" spans="1:8" s="10" customFormat="1" ht="28.4" customHeight="1" thickBot="1" x14ac:dyDescent="0.4">
      <c r="A54" s="88" t="s">
        <v>445</v>
      </c>
      <c r="B54" s="291" t="s">
        <v>444</v>
      </c>
      <c r="C54" s="291"/>
      <c r="D54" s="291"/>
      <c r="E54" s="291"/>
      <c r="F54" s="291"/>
      <c r="G54" s="83">
        <f>1610*Скидка!B18*(1+Скидка!B21/100)*(1+Лист1!B59/100)*(1+Лист1!C59/100)*(1+Лист1!D59/100)*(1+Лист1!E59/100)</f>
        <v>1899.8</v>
      </c>
      <c r="H54" s="172">
        <f>G54*(1-(Скидка!C3/100))</f>
        <v>1899.8</v>
      </c>
    </row>
    <row r="55" spans="1:8" ht="26.15" customHeight="1" thickBot="1" x14ac:dyDescent="0.4">
      <c r="A55" s="282" t="s">
        <v>484</v>
      </c>
      <c r="B55" s="283"/>
      <c r="C55" s="283"/>
      <c r="D55" s="283"/>
      <c r="E55" s="283"/>
      <c r="F55" s="283"/>
      <c r="G55" s="283"/>
      <c r="H55" s="283"/>
    </row>
    <row r="56" spans="1:8" ht="28" customHeight="1" x14ac:dyDescent="0.35">
      <c r="A56" s="292" t="s">
        <v>3</v>
      </c>
      <c r="B56" s="294" t="s">
        <v>4</v>
      </c>
      <c r="C56" s="295"/>
      <c r="D56" s="295"/>
      <c r="E56" s="295"/>
      <c r="F56" s="296"/>
      <c r="G56" s="300" t="s">
        <v>214</v>
      </c>
      <c r="H56" s="165" t="s">
        <v>213</v>
      </c>
    </row>
    <row r="57" spans="1:8" ht="16.5" customHeight="1" thickBot="1" x14ac:dyDescent="0.4">
      <c r="A57" s="293"/>
      <c r="B57" s="297"/>
      <c r="C57" s="298"/>
      <c r="D57" s="298"/>
      <c r="E57" s="298"/>
      <c r="F57" s="299"/>
      <c r="G57" s="301"/>
      <c r="H57" s="166">
        <f>Скидка!B12</f>
        <v>0</v>
      </c>
    </row>
    <row r="58" spans="1:8" ht="17.149999999999999" customHeight="1" thickBot="1" x14ac:dyDescent="0.4">
      <c r="A58" s="270" t="s">
        <v>138</v>
      </c>
      <c r="B58" s="271"/>
      <c r="C58" s="271"/>
      <c r="D58" s="271"/>
      <c r="E58" s="271"/>
      <c r="F58" s="271"/>
      <c r="G58" s="271"/>
      <c r="H58" s="271"/>
    </row>
    <row r="59" spans="1:8" x14ac:dyDescent="0.35">
      <c r="A59" s="90" t="s">
        <v>139</v>
      </c>
      <c r="B59" s="290" t="s">
        <v>154</v>
      </c>
      <c r="C59" s="290"/>
      <c r="D59" s="290"/>
      <c r="E59" s="290"/>
      <c r="F59" s="290"/>
      <c r="G59" s="91">
        <f>949*Скидка!B18*(1+Скидка!B21/100)*(1+Лист1!B61/100)*(1+Лист1!C61/100)*(1+Лист1!D61/100)*(1+Лист1!E61/100)</f>
        <v>1119.82</v>
      </c>
      <c r="H59" s="91">
        <f>G59*(1-(Скидка!B12/100))</f>
        <v>1119.82</v>
      </c>
    </row>
    <row r="60" spans="1:8" x14ac:dyDescent="0.35">
      <c r="A60" s="89" t="s">
        <v>140</v>
      </c>
      <c r="B60" s="302" t="s">
        <v>446</v>
      </c>
      <c r="C60" s="302"/>
      <c r="D60" s="302"/>
      <c r="E60" s="302"/>
      <c r="F60" s="302"/>
      <c r="G60" s="85">
        <f>409*Скидка!B18*(1+Скидка!B21/100)*(1+Лист1!B62/100)*(1+Лист1!C62/100)*(1+Лист1!D62/100)*(1+Лист1!E62/100)</f>
        <v>482.61999999999995</v>
      </c>
      <c r="H60" s="85">
        <f>G60*(1-(Скидка!B12/100))</f>
        <v>482.61999999999995</v>
      </c>
    </row>
    <row r="61" spans="1:8" x14ac:dyDescent="0.35">
      <c r="A61" s="89" t="s">
        <v>141</v>
      </c>
      <c r="B61" s="302" t="s">
        <v>155</v>
      </c>
      <c r="C61" s="302"/>
      <c r="D61" s="302"/>
      <c r="E61" s="302"/>
      <c r="F61" s="302"/>
      <c r="G61" s="85">
        <f>605*Скидка!B18*(1+Скидка!B21/100)*(1+Лист1!B63/100)*(1+Лист1!C63/100)*(1+Лист1!D63/100)*(1+Лист1!E63/100)</f>
        <v>713.9</v>
      </c>
      <c r="H61" s="85">
        <f>G61*(1-(Скидка!B12/100))</f>
        <v>713.9</v>
      </c>
    </row>
    <row r="62" spans="1:8" ht="29" x14ac:dyDescent="0.35">
      <c r="A62" s="89" t="s">
        <v>142</v>
      </c>
      <c r="B62" s="302" t="s">
        <v>156</v>
      </c>
      <c r="C62" s="302"/>
      <c r="D62" s="302"/>
      <c r="E62" s="302"/>
      <c r="F62" s="302"/>
      <c r="G62" s="85">
        <f>1097.5*Скидка!B18*(1+Скидка!B21/100)*(1+Лист1!B64/100)*(1+Лист1!C64/100)*(1+Лист1!D64/100)*(1+Лист1!E64/100)</f>
        <v>1295.05</v>
      </c>
      <c r="H62" s="85">
        <f>G62*(1-(Скидка!B12/100))</f>
        <v>1295.05</v>
      </c>
    </row>
    <row r="63" spans="1:8" ht="29" x14ac:dyDescent="0.35">
      <c r="A63" s="89" t="s">
        <v>143</v>
      </c>
      <c r="B63" s="302" t="s">
        <v>157</v>
      </c>
      <c r="C63" s="302"/>
      <c r="D63" s="302"/>
      <c r="E63" s="302"/>
      <c r="F63" s="302"/>
      <c r="G63" s="85">
        <f>2350*Скидка!B18*(1+Скидка!B21/100)*(1+Лист1!B65/100)*(1+Лист1!C65/100)*(1+Лист1!D65/100)*(1+Лист1!E65/100)</f>
        <v>2773</v>
      </c>
      <c r="H63" s="85">
        <f>G63*(1-(Скидка!B12/100))</f>
        <v>2773</v>
      </c>
    </row>
    <row r="64" spans="1:8" ht="29" x14ac:dyDescent="0.35">
      <c r="A64" s="89" t="s">
        <v>144</v>
      </c>
      <c r="B64" s="302" t="s">
        <v>158</v>
      </c>
      <c r="C64" s="302"/>
      <c r="D64" s="302"/>
      <c r="E64" s="302"/>
      <c r="F64" s="302"/>
      <c r="G64" s="85">
        <f>1495*Скидка!B18*(1+Скидка!B21/100)*(1+Лист1!B66/100)*(1+Лист1!C66/100)*(1+Лист1!D66/100)*(1+Лист1!E66/100)</f>
        <v>1764.1</v>
      </c>
      <c r="H64" s="85">
        <f>G64*(1-(Скидка!B12/100))</f>
        <v>1764.1</v>
      </c>
    </row>
    <row r="65" spans="1:8" ht="29" x14ac:dyDescent="0.35">
      <c r="A65" s="89" t="s">
        <v>145</v>
      </c>
      <c r="B65" s="302" t="s">
        <v>159</v>
      </c>
      <c r="C65" s="302"/>
      <c r="D65" s="302"/>
      <c r="E65" s="302"/>
      <c r="F65" s="302"/>
      <c r="G65" s="85">
        <f>1720*Скидка!B18*(1+Скидка!B21/100)*(1+Лист1!B67/100)*(1+Лист1!C67/100)*(1+Лист1!D67/100)*(1+Лист1!E67/100)</f>
        <v>2029.6</v>
      </c>
      <c r="H65" s="85">
        <f>G65*(1-(Скидка!B12/100))</f>
        <v>2029.6</v>
      </c>
    </row>
    <row r="66" spans="1:8" ht="29" x14ac:dyDescent="0.35">
      <c r="A66" s="89" t="s">
        <v>146</v>
      </c>
      <c r="B66" s="302" t="s">
        <v>157</v>
      </c>
      <c r="C66" s="302"/>
      <c r="D66" s="302"/>
      <c r="E66" s="302"/>
      <c r="F66" s="302"/>
      <c r="G66" s="85">
        <f>2195*Скидка!B18*(1+Скидка!B21/100)*(1+Лист1!B68/100)*(1+Лист1!C68/100)*(1+Лист1!D68/100)*(1+Лист1!E68/100)</f>
        <v>2590.1</v>
      </c>
      <c r="H66" s="85">
        <f>G66*(1-(Скидка!B12/100))</f>
        <v>2590.1</v>
      </c>
    </row>
    <row r="67" spans="1:8" x14ac:dyDescent="0.35">
      <c r="A67" s="89" t="s">
        <v>147</v>
      </c>
      <c r="B67" s="302" t="s">
        <v>160</v>
      </c>
      <c r="C67" s="302"/>
      <c r="D67" s="302"/>
      <c r="E67" s="302"/>
      <c r="F67" s="302"/>
      <c r="G67" s="85">
        <f>297*Скидка!B18*(1+Скидка!B21/100)*(1+Лист1!B69/100)*(1+Лист1!C69/100)*(1+Лист1!D69/100)*(1+Лист1!E69/100)</f>
        <v>350.46</v>
      </c>
      <c r="H67" s="85">
        <f>G67*(1-(Скидка!B12/100))</f>
        <v>350.46</v>
      </c>
    </row>
    <row r="68" spans="1:8" x14ac:dyDescent="0.35">
      <c r="A68" s="89" t="s">
        <v>148</v>
      </c>
      <c r="B68" s="302" t="s">
        <v>161</v>
      </c>
      <c r="C68" s="302"/>
      <c r="D68" s="302"/>
      <c r="E68" s="302"/>
      <c r="F68" s="302"/>
      <c r="G68" s="85">
        <f>356*Скидка!B18*(1+Скидка!B21/100)*(1+Лист1!B70/100)*(1+Лист1!C70/100)*(1+Лист1!D70/100)*(1+Лист1!E70/100)</f>
        <v>420.08</v>
      </c>
      <c r="H68" s="85">
        <f>G68*(1-(Скидка!B12/100))</f>
        <v>420.08</v>
      </c>
    </row>
    <row r="69" spans="1:8" x14ac:dyDescent="0.35">
      <c r="A69" s="89" t="s">
        <v>149</v>
      </c>
      <c r="B69" s="302" t="s">
        <v>162</v>
      </c>
      <c r="C69" s="302"/>
      <c r="D69" s="302"/>
      <c r="E69" s="302"/>
      <c r="F69" s="302"/>
      <c r="G69" s="85">
        <f>415*Скидка!B18*(1+Скидка!B21/100)*(1+Лист1!B71/100)*(1+Лист1!C71/100)*(1+Лист1!D71/100)*(1+Лист1!E71/100)</f>
        <v>489.7</v>
      </c>
      <c r="H69" s="85">
        <f>G69*(1-(Скидка!B12/100))</f>
        <v>489.7</v>
      </c>
    </row>
    <row r="70" spans="1:8" x14ac:dyDescent="0.35">
      <c r="A70" s="89" t="s">
        <v>150</v>
      </c>
      <c r="B70" s="302" t="s">
        <v>163</v>
      </c>
      <c r="C70" s="302"/>
      <c r="D70" s="302"/>
      <c r="E70" s="302"/>
      <c r="F70" s="302"/>
      <c r="G70" s="85">
        <f>237*Скидка!B18*(1+Скидка!B21/100)*(1+Лист1!B72/100)*(1+Лист1!C72/100)*(1+Лист1!D72/100)*(1+Лист1!E72/100)</f>
        <v>279.65999999999997</v>
      </c>
      <c r="H70" s="85">
        <f>G70*(1-(Скидка!B12/100))</f>
        <v>279.65999999999997</v>
      </c>
    </row>
    <row r="71" spans="1:8" x14ac:dyDescent="0.35">
      <c r="A71" s="89" t="s">
        <v>151</v>
      </c>
      <c r="B71" s="302" t="s">
        <v>160</v>
      </c>
      <c r="C71" s="302"/>
      <c r="D71" s="302"/>
      <c r="E71" s="302"/>
      <c r="F71" s="302"/>
      <c r="G71" s="85">
        <f>178*Скидка!B18*(1+Скидка!B21/100)*(1+Лист1!B73/100)*(1+Лист1!C73/100)*(1+Лист1!D73/100)*(1+Лист1!E73/100)</f>
        <v>210.04</v>
      </c>
      <c r="H71" s="85">
        <f>G71*(1-(Скидка!B12/100))</f>
        <v>210.04</v>
      </c>
    </row>
    <row r="72" spans="1:8" x14ac:dyDescent="0.35">
      <c r="A72" s="92" t="s">
        <v>152</v>
      </c>
      <c r="B72" s="277" t="s">
        <v>163</v>
      </c>
      <c r="C72" s="277"/>
      <c r="D72" s="277"/>
      <c r="E72" s="277"/>
      <c r="F72" s="277"/>
      <c r="G72" s="87">
        <f>237*Скидка!B18*(1+Скидка!B21/100)*(1+Лист1!B74/100)*(1+Лист1!C74/100)*(1+Лист1!D74/100)*(1+Лист1!E74/100)</f>
        <v>279.65999999999997</v>
      </c>
      <c r="H72" s="87">
        <f>G72*(1-(Скидка!B12/100))</f>
        <v>279.65999999999997</v>
      </c>
    </row>
    <row r="73" spans="1:8" ht="15" thickBot="1" x14ac:dyDescent="0.4">
      <c r="A73" s="93" t="s">
        <v>153</v>
      </c>
      <c r="B73" s="303" t="s">
        <v>160</v>
      </c>
      <c r="C73" s="303"/>
      <c r="D73" s="303"/>
      <c r="E73" s="303"/>
      <c r="F73" s="303"/>
      <c r="G73" s="94">
        <f>178*Скидка!B18*(1+Скидка!B21/100)*(1+Лист1!B75/100)*(1+Лист1!C75/100)*(1+Лист1!D75/100)*(1+Лист1!E75/100)</f>
        <v>210.04</v>
      </c>
      <c r="H73" s="94">
        <f>G73*(1-(Скидка!B12/100))</f>
        <v>210.04</v>
      </c>
    </row>
  </sheetData>
  <sheetProtection formatCells="0" formatColumns="0" formatRows="0" insertColumns="0" insertRows="0" insertHyperlinks="0" deleteColumns="0" deleteRows="0" sort="0" autoFilter="0" pivotTables="0"/>
  <mergeCells count="73">
    <mergeCell ref="B38:F38"/>
    <mergeCell ref="D1:H1"/>
    <mergeCell ref="D2:H2"/>
    <mergeCell ref="D3:H3"/>
    <mergeCell ref="A9:A10"/>
    <mergeCell ref="B9:F10"/>
    <mergeCell ref="A7:G8"/>
    <mergeCell ref="B5:E5"/>
    <mergeCell ref="H7:H8"/>
    <mergeCell ref="A11:H11"/>
    <mergeCell ref="G9:G10"/>
    <mergeCell ref="B12:F12"/>
    <mergeCell ref="A14:H14"/>
    <mergeCell ref="B15:F15"/>
    <mergeCell ref="B13:F13"/>
    <mergeCell ref="A16:H16"/>
    <mergeCell ref="B17:F17"/>
    <mergeCell ref="B18:F18"/>
    <mergeCell ref="B20:F20"/>
    <mergeCell ref="B21:F21"/>
    <mergeCell ref="B19:F19"/>
    <mergeCell ref="A22:H22"/>
    <mergeCell ref="B23:F23"/>
    <mergeCell ref="B25:F25"/>
    <mergeCell ref="A26:H26"/>
    <mergeCell ref="A34:H34"/>
    <mergeCell ref="A24:H24"/>
    <mergeCell ref="B27:F27"/>
    <mergeCell ref="B28:F28"/>
    <mergeCell ref="B29:F29"/>
    <mergeCell ref="B30:F30"/>
    <mergeCell ref="B43:F43"/>
    <mergeCell ref="B45:F45"/>
    <mergeCell ref="B40:F40"/>
    <mergeCell ref="B47:F47"/>
    <mergeCell ref="B44:F44"/>
    <mergeCell ref="B70:F70"/>
    <mergeCell ref="B71:F71"/>
    <mergeCell ref="B72:F72"/>
    <mergeCell ref="B73:F73"/>
    <mergeCell ref="B65:F65"/>
    <mergeCell ref="B66:F66"/>
    <mergeCell ref="B67:F67"/>
    <mergeCell ref="B68:F68"/>
    <mergeCell ref="B69:F69"/>
    <mergeCell ref="B60:F60"/>
    <mergeCell ref="B61:F61"/>
    <mergeCell ref="B62:F62"/>
    <mergeCell ref="B63:F63"/>
    <mergeCell ref="B64:F64"/>
    <mergeCell ref="B59:F59"/>
    <mergeCell ref="A53:H53"/>
    <mergeCell ref="B54:F54"/>
    <mergeCell ref="A58:H58"/>
    <mergeCell ref="A56:A57"/>
    <mergeCell ref="B56:F57"/>
    <mergeCell ref="G56:G57"/>
    <mergeCell ref="B52:F52"/>
    <mergeCell ref="A31:H31"/>
    <mergeCell ref="A32:H32"/>
    <mergeCell ref="B33:F33"/>
    <mergeCell ref="A55:H55"/>
    <mergeCell ref="B50:F50"/>
    <mergeCell ref="B51:F51"/>
    <mergeCell ref="B36:F36"/>
    <mergeCell ref="B37:F37"/>
    <mergeCell ref="B39:F39"/>
    <mergeCell ref="B46:F46"/>
    <mergeCell ref="A48:H48"/>
    <mergeCell ref="B41:F41"/>
    <mergeCell ref="B42:F42"/>
    <mergeCell ref="B35:F35"/>
    <mergeCell ref="B49:F49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33"/>
  </sheetPr>
  <dimension ref="A1:I19"/>
  <sheetViews>
    <sheetView showGridLines="0" showRowColHeaders="0" showRuler="0" view="pageBreakPreview" topLeftCell="A7" zoomScaleNormal="100" zoomScaleSheetLayoutView="100" workbookViewId="0">
      <selection activeCell="H36" sqref="H36"/>
    </sheetView>
  </sheetViews>
  <sheetFormatPr defaultRowHeight="14.5" x14ac:dyDescent="0.35"/>
  <cols>
    <col min="1" max="1" width="18.81640625" customWidth="1"/>
    <col min="2" max="2" width="11.453125" customWidth="1"/>
    <col min="4" max="4" width="6.26953125" customWidth="1"/>
    <col min="5" max="5" width="7.26953125" customWidth="1"/>
    <col min="6" max="6" width="20.81640625" customWidth="1"/>
    <col min="7" max="7" width="11.26953125" customWidth="1"/>
    <col min="8" max="8" width="10.7265625" customWidth="1"/>
    <col min="9" max="9" width="3.453125" customWidth="1"/>
  </cols>
  <sheetData>
    <row r="1" spans="1:9" ht="21" customHeight="1" x14ac:dyDescent="0.65">
      <c r="D1" s="313" t="s">
        <v>0</v>
      </c>
      <c r="E1" s="313"/>
      <c r="F1" s="313"/>
      <c r="G1" s="313"/>
      <c r="H1" s="313"/>
      <c r="I1" s="3"/>
    </row>
    <row r="2" spans="1:9" ht="15.5" x14ac:dyDescent="0.35">
      <c r="D2" s="236" t="s">
        <v>1</v>
      </c>
      <c r="E2" s="236"/>
      <c r="F2" s="236"/>
      <c r="G2" s="236"/>
      <c r="H2" s="236"/>
      <c r="I2" s="4"/>
    </row>
    <row r="3" spans="1:9" x14ac:dyDescent="0.35">
      <c r="D3" s="237" t="s">
        <v>2</v>
      </c>
      <c r="E3" s="237"/>
      <c r="F3" s="237"/>
      <c r="G3" s="237"/>
      <c r="H3" s="237"/>
      <c r="I3" s="1"/>
    </row>
    <row r="4" spans="1:9" ht="6.75" customHeight="1" x14ac:dyDescent="0.35"/>
    <row r="5" spans="1:9" ht="15.5" x14ac:dyDescent="0.35">
      <c r="A5" s="46" t="s">
        <v>276</v>
      </c>
      <c r="B5" s="243" t="s">
        <v>217</v>
      </c>
      <c r="C5" s="243"/>
      <c r="D5" s="243"/>
      <c r="E5" s="243"/>
      <c r="F5" s="47">
        <f>Скидка!B15</f>
        <v>43159</v>
      </c>
      <c r="G5" s="95"/>
      <c r="H5" s="96"/>
      <c r="I5" s="9"/>
    </row>
    <row r="6" spans="1:9" ht="3.75" customHeight="1" x14ac:dyDescent="0.35">
      <c r="A6" s="50"/>
      <c r="B6" s="50"/>
      <c r="C6" s="50"/>
      <c r="D6" s="50"/>
      <c r="E6" s="50"/>
      <c r="F6" s="50"/>
      <c r="G6" s="50"/>
      <c r="H6" s="50"/>
    </row>
    <row r="7" spans="1:9" ht="1" customHeight="1" thickBot="1" x14ac:dyDescent="0.4">
      <c r="A7" s="344"/>
      <c r="B7" s="344"/>
      <c r="C7" s="344"/>
      <c r="D7" s="344"/>
      <c r="E7" s="344"/>
      <c r="F7" s="344"/>
      <c r="G7" s="344"/>
      <c r="H7" s="97"/>
      <c r="I7" s="5"/>
    </row>
    <row r="8" spans="1:9" ht="22.5" customHeight="1" thickBot="1" x14ac:dyDescent="0.4">
      <c r="A8" s="343" t="s">
        <v>225</v>
      </c>
      <c r="B8" s="343"/>
      <c r="C8" s="343"/>
      <c r="D8" s="343"/>
      <c r="E8" s="343"/>
      <c r="F8" s="343"/>
      <c r="G8" s="343"/>
      <c r="H8" s="98" t="s">
        <v>240</v>
      </c>
      <c r="I8" s="6"/>
    </row>
    <row r="9" spans="1:9" ht="27" customHeight="1" x14ac:dyDescent="0.35">
      <c r="A9" s="331" t="s">
        <v>3</v>
      </c>
      <c r="B9" s="333" t="s">
        <v>4</v>
      </c>
      <c r="C9" s="334"/>
      <c r="D9" s="334"/>
      <c r="E9" s="334"/>
      <c r="F9" s="335"/>
      <c r="G9" s="339" t="s">
        <v>214</v>
      </c>
      <c r="H9" s="99" t="s">
        <v>215</v>
      </c>
    </row>
    <row r="10" spans="1:9" ht="26.25" customHeight="1" thickBot="1" x14ac:dyDescent="0.4">
      <c r="A10" s="332"/>
      <c r="B10" s="336"/>
      <c r="C10" s="337"/>
      <c r="D10" s="337"/>
      <c r="E10" s="337"/>
      <c r="F10" s="338"/>
      <c r="G10" s="340"/>
      <c r="H10" s="178">
        <f>Скидка!D3</f>
        <v>0</v>
      </c>
    </row>
    <row r="11" spans="1:9" ht="28.4" customHeight="1" thickBot="1" x14ac:dyDescent="0.4">
      <c r="A11" s="317" t="s">
        <v>241</v>
      </c>
      <c r="B11" s="318"/>
      <c r="C11" s="318"/>
      <c r="D11" s="318"/>
      <c r="E11" s="318"/>
      <c r="F11" s="318"/>
      <c r="G11" s="318"/>
      <c r="H11" s="319"/>
    </row>
    <row r="12" spans="1:9" ht="28.4" customHeight="1" thickBot="1" x14ac:dyDescent="0.4">
      <c r="A12" s="102" t="s">
        <v>364</v>
      </c>
      <c r="B12" s="329" t="s">
        <v>284</v>
      </c>
      <c r="C12" s="329"/>
      <c r="D12" s="329"/>
      <c r="E12" s="329"/>
      <c r="F12" s="329"/>
      <c r="G12" s="103">
        <f>6461.8*Скидка!B18*(1+Скидка!B21/100)*(1+Лист1!B75/100)*(1+Лист1!C75/100)*(1+Лист1!D75/100)*(1+Лист1!E75/100)</f>
        <v>7624.924</v>
      </c>
      <c r="H12" s="104">
        <f>G12*(1-(Скидка!D3/100))</f>
        <v>7624.924</v>
      </c>
    </row>
    <row r="13" spans="1:9" ht="28.4" customHeight="1" x14ac:dyDescent="0.35">
      <c r="A13" s="100" t="s">
        <v>365</v>
      </c>
      <c r="B13" s="342" t="s">
        <v>283</v>
      </c>
      <c r="C13" s="342"/>
      <c r="D13" s="342"/>
      <c r="E13" s="342"/>
      <c r="F13" s="342"/>
      <c r="G13" s="101">
        <f>8457.6*Скидка!B18*(1+Скидка!B21/100)*(1+Лист1!B77/100)*(1+Лист1!C77/100)*(1+Лист1!D77/100)*(1+Лист1!E77/100)</f>
        <v>9979.9680000000008</v>
      </c>
      <c r="H13" s="153">
        <f>G13*(1-(Скидка!D3/100))</f>
        <v>9979.9680000000008</v>
      </c>
    </row>
    <row r="14" spans="1:9" ht="28.4" customHeight="1" x14ac:dyDescent="0.35">
      <c r="A14" s="105" t="s">
        <v>175</v>
      </c>
      <c r="B14" s="341" t="s">
        <v>285</v>
      </c>
      <c r="C14" s="341"/>
      <c r="D14" s="341"/>
      <c r="E14" s="341"/>
      <c r="F14" s="341"/>
      <c r="G14" s="63">
        <f>4618.6*Скидка!B18*(1+Скидка!B21/100)*(1+Лист1!B78/100)*(1+Лист1!C78/100)*(1+Лист1!D78/100)*(1+Лист1!E78/100)</f>
        <v>5449.9480000000003</v>
      </c>
      <c r="H14" s="106">
        <f>G14*(1-(Скидка!D3/100))</f>
        <v>5449.9480000000003</v>
      </c>
    </row>
    <row r="15" spans="1:9" ht="28.4" customHeight="1" thickBot="1" x14ac:dyDescent="0.4">
      <c r="A15" s="105" t="s">
        <v>362</v>
      </c>
      <c r="B15" s="341" t="s">
        <v>363</v>
      </c>
      <c r="C15" s="341"/>
      <c r="D15" s="341"/>
      <c r="E15" s="341"/>
      <c r="F15" s="341"/>
      <c r="G15" s="63">
        <f>6737*Скидка!B18*(1+Скидка!B21/100)*(1+Лист1!B79/100)*(1+Лист1!C79/100)*(1+Лист1!D79/100)*(1+Лист1!E79/100)</f>
        <v>7949.66</v>
      </c>
      <c r="H15" s="108">
        <f>G15*(1-(Скидка!D3/100))</f>
        <v>7949.66</v>
      </c>
    </row>
    <row r="16" spans="1:9" ht="28.4" customHeight="1" thickBot="1" x14ac:dyDescent="0.4">
      <c r="A16" s="317" t="s">
        <v>202</v>
      </c>
      <c r="B16" s="318"/>
      <c r="C16" s="318"/>
      <c r="D16" s="318"/>
      <c r="E16" s="318"/>
      <c r="F16" s="318"/>
      <c r="G16" s="318"/>
      <c r="H16" s="319"/>
    </row>
    <row r="17" spans="1:8" ht="28.4" customHeight="1" x14ac:dyDescent="0.35">
      <c r="A17" s="88" t="s">
        <v>203</v>
      </c>
      <c r="B17" s="342" t="s">
        <v>209</v>
      </c>
      <c r="C17" s="342"/>
      <c r="D17" s="342"/>
      <c r="E17" s="342"/>
      <c r="F17" s="342"/>
      <c r="G17" s="101">
        <f>9067.8*Скидка!B18*(1+Скидка!B21/100)*(1+Лист1!B79/100)*(1+Лист1!C79/100)*(1+Лист1!D79/100)*(1+Лист1!E79/100)</f>
        <v>10700.003999999999</v>
      </c>
      <c r="H17" s="153">
        <f>G17*(1-(Скидка!D3/100))</f>
        <v>10700.003999999999</v>
      </c>
    </row>
    <row r="18" spans="1:8" ht="28.4" customHeight="1" x14ac:dyDescent="0.35">
      <c r="A18" s="89" t="s">
        <v>207</v>
      </c>
      <c r="B18" s="329" t="s">
        <v>210</v>
      </c>
      <c r="C18" s="329"/>
      <c r="D18" s="329"/>
      <c r="E18" s="329"/>
      <c r="F18" s="329"/>
      <c r="G18" s="103">
        <f>11652.54*Скидка!B18*(1+Скидка!B21/100)*(1+Лист1!B80/100)*(1+Лист1!C80/100)*(1+Лист1!D80/100)*(1+Лист1!E80/100)</f>
        <v>13749.9972</v>
      </c>
      <c r="H18" s="104">
        <f>G18*(1-(Скидка!D3/100))</f>
        <v>13749.9972</v>
      </c>
    </row>
    <row r="19" spans="1:8" ht="26.5" customHeight="1" thickBot="1" x14ac:dyDescent="0.4">
      <c r="A19" s="93" t="s">
        <v>208</v>
      </c>
      <c r="B19" s="330" t="s">
        <v>211</v>
      </c>
      <c r="C19" s="330"/>
      <c r="D19" s="330"/>
      <c r="E19" s="330"/>
      <c r="F19" s="330"/>
      <c r="G19" s="107">
        <f>14576*Скидка!B18*(1+Скидка!B21/100)*(1+Лист1!B81/100)*(1+Лист1!C81/100)*(1+Лист1!D81/100)*(1+Лист1!E81/100)</f>
        <v>17199.68</v>
      </c>
      <c r="H19" s="108">
        <f>G19*(1-(Скидка!D3/100))</f>
        <v>17199.68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A8:G8"/>
    <mergeCell ref="D1:H1"/>
    <mergeCell ref="D2:H2"/>
    <mergeCell ref="D3:H3"/>
    <mergeCell ref="B5:E5"/>
    <mergeCell ref="A7:G7"/>
    <mergeCell ref="B18:F18"/>
    <mergeCell ref="B19:F19"/>
    <mergeCell ref="A9:A10"/>
    <mergeCell ref="B9:F10"/>
    <mergeCell ref="A16:H16"/>
    <mergeCell ref="G9:G10"/>
    <mergeCell ref="A11:H11"/>
    <mergeCell ref="B12:F12"/>
    <mergeCell ref="B14:F14"/>
    <mergeCell ref="B17:F17"/>
    <mergeCell ref="B15:F15"/>
    <mergeCell ref="B13:F13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23622047244094491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I79"/>
  <sheetViews>
    <sheetView showGridLines="0" showRowColHeaders="0" showRuler="0" view="pageBreakPreview" zoomScaleNormal="100" zoomScaleSheetLayoutView="100" workbookViewId="0">
      <selection activeCell="G15" sqref="G15"/>
    </sheetView>
  </sheetViews>
  <sheetFormatPr defaultRowHeight="14.5" x14ac:dyDescent="0.35"/>
  <cols>
    <col min="1" max="1" width="18" customWidth="1"/>
    <col min="2" max="2" width="11.453125" customWidth="1"/>
    <col min="4" max="4" width="6.26953125" customWidth="1"/>
    <col min="5" max="5" width="7.26953125" customWidth="1"/>
    <col min="6" max="6" width="21.26953125" customWidth="1"/>
    <col min="7" max="7" width="11.26953125" customWidth="1"/>
    <col min="8" max="8" width="10.7265625" customWidth="1"/>
    <col min="9" max="9" width="3.453125" customWidth="1"/>
  </cols>
  <sheetData>
    <row r="1" spans="1:9" ht="21" customHeight="1" x14ac:dyDescent="0.65">
      <c r="D1" s="313" t="s">
        <v>0</v>
      </c>
      <c r="E1" s="313"/>
      <c r="F1" s="313"/>
      <c r="G1" s="313"/>
      <c r="H1" s="313"/>
      <c r="I1" s="3"/>
    </row>
    <row r="2" spans="1:9" ht="15.5" x14ac:dyDescent="0.35">
      <c r="D2" s="236" t="s">
        <v>1</v>
      </c>
      <c r="E2" s="236"/>
      <c r="F2" s="236"/>
      <c r="G2" s="236"/>
      <c r="H2" s="236"/>
      <c r="I2" s="4"/>
    </row>
    <row r="3" spans="1:9" x14ac:dyDescent="0.35">
      <c r="D3" s="237" t="s">
        <v>2</v>
      </c>
      <c r="E3" s="237"/>
      <c r="F3" s="237"/>
      <c r="G3" s="237"/>
      <c r="H3" s="237"/>
      <c r="I3" s="1"/>
    </row>
    <row r="4" spans="1:9" ht="6.75" customHeight="1" x14ac:dyDescent="0.35"/>
    <row r="5" spans="1:9" ht="15.5" x14ac:dyDescent="0.35">
      <c r="A5" s="46" t="s">
        <v>276</v>
      </c>
      <c r="B5" s="243" t="s">
        <v>217</v>
      </c>
      <c r="C5" s="243"/>
      <c r="D5" s="243"/>
      <c r="E5" s="243"/>
      <c r="F5" s="47">
        <f>Скидка!B15</f>
        <v>43159</v>
      </c>
      <c r="G5" s="109"/>
      <c r="H5" s="96"/>
      <c r="I5" s="9"/>
    </row>
    <row r="6" spans="1:9" ht="3.75" customHeight="1" x14ac:dyDescent="0.35">
      <c r="A6" s="50"/>
      <c r="B6" s="50"/>
      <c r="C6" s="50"/>
      <c r="D6" s="50"/>
      <c r="E6" s="50"/>
      <c r="F6" s="50"/>
      <c r="G6" s="50"/>
      <c r="H6" s="50"/>
    </row>
    <row r="7" spans="1:9" ht="1" customHeight="1" thickBot="1" x14ac:dyDescent="0.4">
      <c r="A7" s="97"/>
      <c r="B7" s="97"/>
      <c r="C7" s="97"/>
      <c r="D7" s="97"/>
      <c r="E7" s="97"/>
      <c r="F7" s="97"/>
      <c r="G7" s="97"/>
      <c r="H7" s="97"/>
      <c r="I7" s="5"/>
    </row>
    <row r="8" spans="1:9" ht="19.5" customHeight="1" thickBot="1" x14ac:dyDescent="0.4">
      <c r="A8" s="358" t="s">
        <v>303</v>
      </c>
      <c r="B8" s="358"/>
      <c r="C8" s="358"/>
      <c r="D8" s="358"/>
      <c r="E8" s="358"/>
      <c r="F8" s="358"/>
      <c r="G8" s="358"/>
      <c r="H8" s="110" t="s">
        <v>485</v>
      </c>
      <c r="I8" s="6"/>
    </row>
    <row r="9" spans="1:9" ht="27" customHeight="1" x14ac:dyDescent="0.35">
      <c r="A9" s="367" t="s">
        <v>3</v>
      </c>
      <c r="B9" s="365" t="s">
        <v>27</v>
      </c>
      <c r="C9" s="359" t="s">
        <v>4</v>
      </c>
      <c r="D9" s="360"/>
      <c r="E9" s="360"/>
      <c r="F9" s="361"/>
      <c r="G9" s="365" t="s">
        <v>214</v>
      </c>
      <c r="H9" s="111" t="s">
        <v>213</v>
      </c>
    </row>
    <row r="10" spans="1:9" ht="26.25" customHeight="1" thickBot="1" x14ac:dyDescent="0.4">
      <c r="A10" s="368"/>
      <c r="B10" s="366"/>
      <c r="C10" s="362"/>
      <c r="D10" s="363"/>
      <c r="E10" s="363"/>
      <c r="F10" s="364"/>
      <c r="G10" s="366"/>
      <c r="H10" s="179">
        <f>Скидка!E3</f>
        <v>0</v>
      </c>
    </row>
    <row r="11" spans="1:9" ht="24" customHeight="1" thickBot="1" x14ac:dyDescent="0.4">
      <c r="A11" s="355" t="s">
        <v>304</v>
      </c>
      <c r="B11" s="356"/>
      <c r="C11" s="356"/>
      <c r="D11" s="356"/>
      <c r="E11" s="356"/>
      <c r="F11" s="356"/>
      <c r="G11" s="356"/>
      <c r="H11" s="357"/>
    </row>
    <row r="12" spans="1:9" ht="24" hidden="1" customHeight="1" x14ac:dyDescent="0.35">
      <c r="A12" s="100" t="s">
        <v>243</v>
      </c>
      <c r="B12" s="164" t="s">
        <v>249</v>
      </c>
      <c r="C12" s="352" t="s">
        <v>262</v>
      </c>
      <c r="D12" s="353"/>
      <c r="E12" s="353"/>
      <c r="F12" s="354"/>
      <c r="G12" s="101">
        <f>7966*Скидка!B18*(1+Скидка!B21/100)*(1+Лист1!B82/100)*(1+Лист1!C82/100)*(1+Лист1!D82/100)*(1+Лист1!E82/100)</f>
        <v>9399.8799999999992</v>
      </c>
      <c r="H12" s="82">
        <f>G12*(1-(Скидка!E3/100))</f>
        <v>9399.8799999999992</v>
      </c>
    </row>
    <row r="13" spans="1:9" ht="24" hidden="1" customHeight="1" x14ac:dyDescent="0.35">
      <c r="A13" s="102" t="s">
        <v>244</v>
      </c>
      <c r="B13" s="162" t="s">
        <v>249</v>
      </c>
      <c r="C13" s="345" t="s">
        <v>306</v>
      </c>
      <c r="D13" s="346"/>
      <c r="E13" s="346"/>
      <c r="F13" s="347"/>
      <c r="G13" s="103">
        <f>9491.53*Скидка!B18*(1+Скидка!B21/100)*(1+Лист1!B83/100)*(1+Лист1!C83/100)*(1+Лист1!D83/100)*(1+Лист1!E83/100)</f>
        <v>11200.0054</v>
      </c>
      <c r="H13" s="82">
        <f>G13*(1-(Скидка!E3/100))</f>
        <v>11200.0054</v>
      </c>
    </row>
    <row r="14" spans="1:9" ht="24" customHeight="1" x14ac:dyDescent="0.35">
      <c r="A14" s="102" t="s">
        <v>245</v>
      </c>
      <c r="B14" s="162" t="s">
        <v>234</v>
      </c>
      <c r="C14" s="345" t="s">
        <v>256</v>
      </c>
      <c r="D14" s="346"/>
      <c r="E14" s="346"/>
      <c r="F14" s="347"/>
      <c r="G14" s="103">
        <f>9152.6*Скидка!B18*(1+Скидка!B21/100)*(1+Лист1!B84/100)*(1+Лист1!C84/100)*(1+Лист1!D84/100)*(1+Лист1!E84/100)</f>
        <v>10800.067999999999</v>
      </c>
      <c r="H14" s="82">
        <f>G14*(1-(Скидка!E3/100))</f>
        <v>10800.067999999999</v>
      </c>
    </row>
    <row r="15" spans="1:9" ht="24" customHeight="1" x14ac:dyDescent="0.35">
      <c r="A15" s="102" t="s">
        <v>246</v>
      </c>
      <c r="B15" s="164" t="s">
        <v>234</v>
      </c>
      <c r="C15" s="345" t="s">
        <v>307</v>
      </c>
      <c r="D15" s="346"/>
      <c r="E15" s="346"/>
      <c r="F15" s="347"/>
      <c r="G15" s="101">
        <f>10254*Скидка!B18*(1+Скидка!B21/100)*(1+Лист1!B85/100)*(1+Лист1!C85/100)*(1+Лист1!D85/100)*(1+Лист1!E85/100)</f>
        <v>12099.72</v>
      </c>
      <c r="H15" s="82">
        <f>G15*(1-(Скидка!E3/100))</f>
        <v>12099.72</v>
      </c>
    </row>
    <row r="16" spans="1:9" ht="24" customHeight="1" x14ac:dyDescent="0.35">
      <c r="A16" s="102" t="s">
        <v>247</v>
      </c>
      <c r="B16" s="162" t="s">
        <v>235</v>
      </c>
      <c r="C16" s="345" t="s">
        <v>256</v>
      </c>
      <c r="D16" s="346"/>
      <c r="E16" s="346"/>
      <c r="F16" s="347"/>
      <c r="G16" s="103">
        <f>10338.9*Скидка!B18*(1+Скидка!B21/100)*(1+Лист1!B86/100)*(1+Лист1!C86/100)*(1+Лист1!D86/100)*(1+Лист1!E86/100)</f>
        <v>12199.901999999998</v>
      </c>
      <c r="H16" s="82">
        <f>G16*(1-(Скидка!E3/100))</f>
        <v>12199.901999999998</v>
      </c>
    </row>
    <row r="17" spans="1:8" ht="24" customHeight="1" thickBot="1" x14ac:dyDescent="0.4">
      <c r="A17" s="102" t="s">
        <v>248</v>
      </c>
      <c r="B17" s="162" t="s">
        <v>235</v>
      </c>
      <c r="C17" s="348" t="s">
        <v>308</v>
      </c>
      <c r="D17" s="349"/>
      <c r="E17" s="349"/>
      <c r="F17" s="350"/>
      <c r="G17" s="103">
        <f>11694.9*Скидка!B18*(1+Скидка!B21/100)*(1+Лист1!B87/100)*(1+Лист1!C87/100)*(1+Лист1!D87/100)*(1+Лист1!E87/100)</f>
        <v>13799.981999999998</v>
      </c>
      <c r="H17" s="82">
        <f>G17*(1-(Скидка!E3/100))</f>
        <v>13799.981999999998</v>
      </c>
    </row>
    <row r="18" spans="1:8" ht="24" customHeight="1" thickBot="1" x14ac:dyDescent="0.4">
      <c r="A18" s="355" t="s">
        <v>305</v>
      </c>
      <c r="B18" s="356"/>
      <c r="C18" s="356"/>
      <c r="D18" s="356"/>
      <c r="E18" s="356"/>
      <c r="F18" s="356"/>
      <c r="G18" s="356"/>
      <c r="H18" s="357"/>
    </row>
    <row r="19" spans="1:8" ht="24" hidden="1" customHeight="1" x14ac:dyDescent="0.35">
      <c r="A19" s="100" t="s">
        <v>250</v>
      </c>
      <c r="B19" s="164" t="s">
        <v>249</v>
      </c>
      <c r="C19" s="352" t="s">
        <v>257</v>
      </c>
      <c r="D19" s="353"/>
      <c r="E19" s="353"/>
      <c r="F19" s="354"/>
      <c r="G19" s="101">
        <f>9703.4*Скидка!B18*(1+Скидка!B21/100)*(1+Лист1!B88/100)*(1+Лист1!C88/100)*(1+Лист1!D88/100)*(1+Лист1!E88/100)</f>
        <v>11450.011999999999</v>
      </c>
      <c r="H19" s="82">
        <f>G19*(1-(Скидка!E3/100))</f>
        <v>11450.011999999999</v>
      </c>
    </row>
    <row r="20" spans="1:8" ht="24" hidden="1" customHeight="1" x14ac:dyDescent="0.35">
      <c r="A20" s="102" t="s">
        <v>251</v>
      </c>
      <c r="B20" s="162" t="s">
        <v>249</v>
      </c>
      <c r="C20" s="345" t="s">
        <v>309</v>
      </c>
      <c r="D20" s="346"/>
      <c r="E20" s="346"/>
      <c r="F20" s="347"/>
      <c r="G20" s="103">
        <f>11483*Скидка!B18*(1+Скидка!B21/100)*(1+Лист1!B89/100)*(1+Лист1!C89/100)*(1+Лист1!D89/100)*(1+Лист1!E89/100)</f>
        <v>13549.939999999999</v>
      </c>
      <c r="H20" s="82">
        <f>G20*(1-(Скидка!E3/100))</f>
        <v>13549.939999999999</v>
      </c>
    </row>
    <row r="21" spans="1:8" ht="24" customHeight="1" x14ac:dyDescent="0.35">
      <c r="A21" s="102" t="s">
        <v>252</v>
      </c>
      <c r="B21" s="162" t="s">
        <v>234</v>
      </c>
      <c r="C21" s="345" t="s">
        <v>257</v>
      </c>
      <c r="D21" s="346"/>
      <c r="E21" s="346"/>
      <c r="F21" s="347"/>
      <c r="G21" s="103">
        <f>10762.7*Скидка!B18*(1+Скидка!B21/100)*(1+Лист1!B90/100)*(1+Лист1!C90/100)*(1+Лист1!D90/100)*(1+Лист1!E90/100)</f>
        <v>12699.986000000001</v>
      </c>
      <c r="H21" s="82">
        <f>G21*(1-(Скидка!E3/100))</f>
        <v>12699.986000000001</v>
      </c>
    </row>
    <row r="22" spans="1:8" ht="24" customHeight="1" x14ac:dyDescent="0.35">
      <c r="A22" s="102" t="s">
        <v>253</v>
      </c>
      <c r="B22" s="164" t="s">
        <v>234</v>
      </c>
      <c r="C22" s="345" t="s">
        <v>310</v>
      </c>
      <c r="D22" s="346"/>
      <c r="E22" s="346"/>
      <c r="F22" s="347"/>
      <c r="G22" s="101">
        <f>12542*Скидка!B18*(1+Скидка!B21/100)*(1+Лист1!B91/100)*(1+Лист1!C91/100)*(1+Лист1!D91/100)*(1+Лист1!E91/100)</f>
        <v>14799.56</v>
      </c>
      <c r="H22" s="82">
        <f>G22*(1-(Скидка!E3/100))</f>
        <v>14799.56</v>
      </c>
    </row>
    <row r="23" spans="1:8" ht="24" customHeight="1" x14ac:dyDescent="0.35">
      <c r="A23" s="102" t="s">
        <v>254</v>
      </c>
      <c r="B23" s="162" t="s">
        <v>235</v>
      </c>
      <c r="C23" s="345" t="s">
        <v>257</v>
      </c>
      <c r="D23" s="346"/>
      <c r="E23" s="346"/>
      <c r="F23" s="347"/>
      <c r="G23" s="103">
        <f>11949*Скидка!B18*(1+Скидка!B21/100)*(1+Лист1!B92/100)*(1+Лист1!C92/100)*(1+Лист1!D92/100)*(1+Лист1!E92/100)</f>
        <v>14099.82</v>
      </c>
      <c r="H23" s="82">
        <f>G23*(1-(Скидка!E3/100))</f>
        <v>14099.82</v>
      </c>
    </row>
    <row r="24" spans="1:8" ht="24" customHeight="1" thickBot="1" x14ac:dyDescent="0.4">
      <c r="A24" s="124" t="s">
        <v>255</v>
      </c>
      <c r="B24" s="163" t="s">
        <v>235</v>
      </c>
      <c r="C24" s="348" t="s">
        <v>310</v>
      </c>
      <c r="D24" s="349"/>
      <c r="E24" s="349"/>
      <c r="F24" s="350"/>
      <c r="G24" s="107">
        <f>13686.4*Скидка!B18*(1+Скидка!B21/100)*(1+Лист1!B93/100)*(1+Лист1!C93/100)*(1+Лист1!D93/100)*(1+Лист1!E93/100)</f>
        <v>16149.951999999999</v>
      </c>
      <c r="H24" s="175">
        <f>G24*(1-(Скидка!E3/100))</f>
        <v>16149.951999999999</v>
      </c>
    </row>
    <row r="25" spans="1:8" ht="17.149999999999999" customHeight="1" x14ac:dyDescent="0.35">
      <c r="A25" s="351" t="s">
        <v>258</v>
      </c>
      <c r="B25" s="351"/>
      <c r="C25" s="351"/>
      <c r="D25" s="351"/>
      <c r="E25" s="351"/>
      <c r="F25" s="351"/>
      <c r="G25" s="19" t="s">
        <v>259</v>
      </c>
    </row>
    <row r="26" spans="1:8" ht="17.149999999999999" customHeight="1" x14ac:dyDescent="0.35"/>
    <row r="27" spans="1:8" ht="17.149999999999999" customHeight="1" x14ac:dyDescent="0.35"/>
    <row r="28" spans="1:8" ht="17.149999999999999" customHeight="1" x14ac:dyDescent="0.35"/>
    <row r="29" spans="1:8" ht="17.149999999999999" customHeight="1" x14ac:dyDescent="0.35"/>
    <row r="30" spans="1:8" ht="17.149999999999999" customHeight="1" x14ac:dyDescent="0.35"/>
    <row r="31" spans="1:8" ht="17.149999999999999" customHeight="1" x14ac:dyDescent="0.35"/>
    <row r="32" spans="1:8" ht="17.149999999999999" customHeight="1" x14ac:dyDescent="0.35"/>
    <row r="33" spans="9:9" ht="14.5" customHeight="1" x14ac:dyDescent="0.35">
      <c r="I33" s="2"/>
    </row>
    <row r="34" spans="9:9" ht="14.5" customHeight="1" x14ac:dyDescent="0.35">
      <c r="I34" s="2"/>
    </row>
    <row r="35" spans="9:9" ht="14.5" customHeight="1" x14ac:dyDescent="0.35"/>
    <row r="36" spans="9:9" ht="14.5" customHeight="1" x14ac:dyDescent="0.35"/>
    <row r="37" spans="9:9" ht="28.4" customHeight="1" x14ac:dyDescent="0.35"/>
    <row r="38" spans="9:9" ht="28.4" customHeight="1" x14ac:dyDescent="0.35"/>
    <row r="39" spans="9:9" ht="14.15" customHeight="1" x14ac:dyDescent="0.35"/>
    <row r="40" spans="9:9" ht="26.15" hidden="1" customHeight="1" x14ac:dyDescent="0.35"/>
    <row r="41" spans="9:9" ht="26.15" customHeight="1" x14ac:dyDescent="0.35"/>
    <row r="42" spans="9:9" ht="28.4" customHeight="1" x14ac:dyDescent="0.35"/>
    <row r="43" spans="9:9" ht="22.75" customHeight="1" x14ac:dyDescent="0.35"/>
    <row r="44" spans="9:9" ht="22.75" customHeight="1" x14ac:dyDescent="0.35"/>
    <row r="45" spans="9:9" ht="34" customHeight="1" x14ac:dyDescent="0.35"/>
    <row r="46" spans="9:9" ht="34" customHeight="1" x14ac:dyDescent="0.35"/>
    <row r="47" spans="9:9" ht="22.75" customHeight="1" x14ac:dyDescent="0.35"/>
    <row r="48" spans="9:9" ht="22.75" customHeight="1" x14ac:dyDescent="0.35"/>
    <row r="49" ht="28.4" customHeight="1" x14ac:dyDescent="0.35"/>
    <row r="50" ht="14.5" customHeight="1" x14ac:dyDescent="0.35"/>
    <row r="51" ht="15" customHeight="1" x14ac:dyDescent="0.35"/>
    <row r="53" ht="14.5" customHeight="1" x14ac:dyDescent="0.35"/>
    <row r="62" ht="28.4" customHeight="1" x14ac:dyDescent="0.35"/>
    <row r="68" ht="34" customHeight="1" x14ac:dyDescent="0.35"/>
    <row r="75" ht="28.4" customHeight="1" x14ac:dyDescent="0.35"/>
    <row r="76" ht="28.4" customHeight="1" x14ac:dyDescent="0.35"/>
    <row r="77" ht="28.4" customHeight="1" x14ac:dyDescent="0.35"/>
    <row r="78" ht="28.4" customHeight="1" x14ac:dyDescent="0.35"/>
    <row r="79" ht="28.4" customHeight="1" x14ac:dyDescent="0.35"/>
  </sheetData>
  <sheetProtection formatCells="0" formatColumns="0" formatRows="0" insertColumns="0" insertRows="0" insertHyperlinks="0" deleteColumns="0" deleteRows="0" sort="0" autoFilter="0" pivotTables="0"/>
  <mergeCells count="24">
    <mergeCell ref="C12:F12"/>
    <mergeCell ref="C14:F14"/>
    <mergeCell ref="C13:F13"/>
    <mergeCell ref="C9:F10"/>
    <mergeCell ref="A11:H11"/>
    <mergeCell ref="G9:G10"/>
    <mergeCell ref="B9:B10"/>
    <mergeCell ref="A9:A10"/>
    <mergeCell ref="D1:H1"/>
    <mergeCell ref="D2:H2"/>
    <mergeCell ref="D3:H3"/>
    <mergeCell ref="B5:E5"/>
    <mergeCell ref="A8:G8"/>
    <mergeCell ref="C15:F15"/>
    <mergeCell ref="C16:F16"/>
    <mergeCell ref="C17:F17"/>
    <mergeCell ref="C19:F19"/>
    <mergeCell ref="C20:F20"/>
    <mergeCell ref="A18:H18"/>
    <mergeCell ref="C21:F21"/>
    <mergeCell ref="C22:F22"/>
    <mergeCell ref="C23:F23"/>
    <mergeCell ref="C24:F24"/>
    <mergeCell ref="A25:F25"/>
  </mergeCells>
  <hyperlinks>
    <hyperlink ref="A5" location="Оглавление!A1" display="Оглавление"/>
    <hyperlink ref="G25" location="'Электропродукция(котлы,ПУЭ,ТЭН)'!A1" display="прайс-лист"/>
    <hyperlink ref="H10" location="Скидка!A1" display="Скидка!A1"/>
  </hyperlinks>
  <pageMargins left="0" right="0" top="7.874015748031496E-2" bottom="0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103"/>
  <sheetViews>
    <sheetView showGridLines="0" showRowColHeaders="0" showRuler="0" view="pageBreakPreview" topLeftCell="A46" zoomScaleNormal="100" zoomScaleSheetLayoutView="100" workbookViewId="0">
      <selection activeCell="A50" sqref="A50"/>
    </sheetView>
  </sheetViews>
  <sheetFormatPr defaultRowHeight="14.5" x14ac:dyDescent="0.35"/>
  <cols>
    <col min="1" max="1" width="18" customWidth="1"/>
    <col min="2" max="2" width="11.453125" customWidth="1"/>
    <col min="4" max="4" width="6.26953125" customWidth="1"/>
    <col min="5" max="5" width="7.26953125" customWidth="1"/>
    <col min="6" max="6" width="20" customWidth="1"/>
    <col min="7" max="7" width="11.26953125" customWidth="1"/>
    <col min="8" max="8" width="10.7265625" customWidth="1"/>
    <col min="9" max="9" width="3.453125" customWidth="1"/>
  </cols>
  <sheetData>
    <row r="1" spans="1:9" ht="21" customHeight="1" x14ac:dyDescent="0.65">
      <c r="D1" s="313" t="s">
        <v>0</v>
      </c>
      <c r="E1" s="313"/>
      <c r="F1" s="313"/>
      <c r="G1" s="313"/>
      <c r="H1" s="313"/>
      <c r="I1" s="3"/>
    </row>
    <row r="2" spans="1:9" ht="15.5" x14ac:dyDescent="0.35">
      <c r="D2" s="236" t="s">
        <v>1</v>
      </c>
      <c r="E2" s="236"/>
      <c r="F2" s="236"/>
      <c r="G2" s="236"/>
      <c r="H2" s="236"/>
      <c r="I2" s="4"/>
    </row>
    <row r="3" spans="1:9" x14ac:dyDescent="0.35">
      <c r="D3" s="237" t="s">
        <v>2</v>
      </c>
      <c r="E3" s="237"/>
      <c r="F3" s="237"/>
      <c r="G3" s="237"/>
      <c r="H3" s="237"/>
      <c r="I3" s="1"/>
    </row>
    <row r="4" spans="1:9" ht="6.75" customHeight="1" x14ac:dyDescent="0.35">
      <c r="A4" s="26"/>
      <c r="B4" s="26"/>
      <c r="C4" s="26"/>
      <c r="D4" s="26"/>
      <c r="E4" s="26"/>
      <c r="F4" s="26"/>
      <c r="G4" s="26"/>
      <c r="H4" s="26"/>
    </row>
    <row r="5" spans="1:9" ht="15.5" x14ac:dyDescent="0.35">
      <c r="A5" s="46" t="s">
        <v>276</v>
      </c>
      <c r="B5" s="243" t="s">
        <v>217</v>
      </c>
      <c r="C5" s="243"/>
      <c r="D5" s="243"/>
      <c r="E5" s="243"/>
      <c r="F5" s="47">
        <f>Скидка!B15</f>
        <v>43159</v>
      </c>
      <c r="G5" s="95"/>
      <c r="H5" s="116"/>
      <c r="I5" s="9"/>
    </row>
    <row r="6" spans="1:9" ht="3.75" customHeight="1" thickBot="1" x14ac:dyDescent="0.4">
      <c r="A6" s="50"/>
      <c r="B6" s="50"/>
      <c r="C6" s="50"/>
      <c r="D6" s="50"/>
      <c r="E6" s="50"/>
      <c r="F6" s="50"/>
      <c r="G6" s="50"/>
      <c r="H6" s="50"/>
    </row>
    <row r="7" spans="1:9" ht="15" customHeight="1" x14ac:dyDescent="0.35">
      <c r="A7" s="397" t="s">
        <v>311</v>
      </c>
      <c r="B7" s="397"/>
      <c r="C7" s="397"/>
      <c r="D7" s="397"/>
      <c r="E7" s="397"/>
      <c r="F7" s="397"/>
      <c r="G7" s="397"/>
      <c r="H7" s="399" t="s">
        <v>486</v>
      </c>
      <c r="I7" s="5"/>
    </row>
    <row r="8" spans="1:9" ht="41.15" customHeight="1" thickBot="1" x14ac:dyDescent="0.4">
      <c r="A8" s="398"/>
      <c r="B8" s="398"/>
      <c r="C8" s="398"/>
      <c r="D8" s="398"/>
      <c r="E8" s="398"/>
      <c r="F8" s="398"/>
      <c r="G8" s="398"/>
      <c r="H8" s="400"/>
      <c r="I8" s="6"/>
    </row>
    <row r="9" spans="1:9" ht="27" customHeight="1" x14ac:dyDescent="0.35">
      <c r="A9" s="387" t="s">
        <v>3</v>
      </c>
      <c r="B9" s="389" t="s">
        <v>61</v>
      </c>
      <c r="C9" s="391" t="s">
        <v>4</v>
      </c>
      <c r="D9" s="391"/>
      <c r="E9" s="391"/>
      <c r="F9" s="391"/>
      <c r="G9" s="389" t="s">
        <v>214</v>
      </c>
      <c r="H9" s="117" t="s">
        <v>213</v>
      </c>
    </row>
    <row r="10" spans="1:9" ht="26.25" customHeight="1" thickBot="1" x14ac:dyDescent="0.4">
      <c r="A10" s="388"/>
      <c r="B10" s="390"/>
      <c r="C10" s="392"/>
      <c r="D10" s="392"/>
      <c r="E10" s="392"/>
      <c r="F10" s="392"/>
      <c r="G10" s="390"/>
      <c r="H10" s="180">
        <f>Скидка!F3</f>
        <v>0</v>
      </c>
    </row>
    <row r="11" spans="1:9" ht="28.4" customHeight="1" thickBot="1" x14ac:dyDescent="0.4">
      <c r="A11" s="393" t="s">
        <v>228</v>
      </c>
      <c r="B11" s="394"/>
      <c r="C11" s="394"/>
      <c r="D11" s="394"/>
      <c r="E11" s="394"/>
      <c r="F11" s="394"/>
      <c r="G11" s="394"/>
      <c r="H11" s="395"/>
    </row>
    <row r="12" spans="1:9" ht="17.149999999999999" customHeight="1" thickBot="1" x14ac:dyDescent="0.4">
      <c r="A12" s="317" t="s">
        <v>392</v>
      </c>
      <c r="B12" s="318"/>
      <c r="C12" s="318"/>
      <c r="D12" s="318"/>
      <c r="E12" s="318"/>
      <c r="F12" s="318"/>
      <c r="G12" s="318"/>
      <c r="H12" s="319"/>
    </row>
    <row r="13" spans="1:9" ht="22.75" customHeight="1" x14ac:dyDescent="0.35">
      <c r="A13" s="100" t="s">
        <v>35</v>
      </c>
      <c r="B13" s="112" t="s">
        <v>63</v>
      </c>
      <c r="C13" s="276" t="s">
        <v>407</v>
      </c>
      <c r="D13" s="276"/>
      <c r="E13" s="276"/>
      <c r="F13" s="276"/>
      <c r="G13" s="113">
        <f>2203*Скидка!B18*(1+Скидка!B21/100)*(1+Лист1!B96/100)*(1+Лист1!C96/100)*(1+Лист1!D96/100)*(1+Лист1!E96/100)</f>
        <v>2599.54</v>
      </c>
      <c r="H13" s="82">
        <f>G13*(1-(Скидка!F3/100))</f>
        <v>2599.54</v>
      </c>
    </row>
    <row r="14" spans="1:9" ht="22.75" customHeight="1" x14ac:dyDescent="0.35">
      <c r="A14" s="102" t="s">
        <v>36</v>
      </c>
      <c r="B14" s="114" t="s">
        <v>62</v>
      </c>
      <c r="C14" s="242" t="s">
        <v>408</v>
      </c>
      <c r="D14" s="242"/>
      <c r="E14" s="242"/>
      <c r="F14" s="242"/>
      <c r="G14" s="120">
        <f>2288*Скидка!B18*(1+Скидка!B21/100)*(1+Лист1!B97/100)*(1+Лист1!C97/100)*(1+Лист1!D97/100)*(1+Лист1!E97/100)</f>
        <v>2699.8399999999997</v>
      </c>
      <c r="H14" s="104">
        <f>G14*(1-(Скидка!F3/100))</f>
        <v>2699.8399999999997</v>
      </c>
    </row>
    <row r="15" spans="1:9" ht="22.75" customHeight="1" x14ac:dyDescent="0.35">
      <c r="A15" s="102" t="s">
        <v>37</v>
      </c>
      <c r="B15" s="114" t="s">
        <v>64</v>
      </c>
      <c r="C15" s="242" t="s">
        <v>407</v>
      </c>
      <c r="D15" s="242"/>
      <c r="E15" s="242"/>
      <c r="F15" s="242"/>
      <c r="G15" s="120">
        <f>2330.51*Скидка!B18*(1+Скидка!B21/100)*(1+Лист1!B98/100)*(1+Лист1!C98/100)*(1+Лист1!D98/100)*(1+Лист1!E98/100)</f>
        <v>2750.0018</v>
      </c>
      <c r="H15" s="104">
        <f>G15*(1-(Скидка!F3/100))</f>
        <v>2750.0018</v>
      </c>
    </row>
    <row r="16" spans="1:9" ht="22.75" customHeight="1" thickBot="1" x14ac:dyDescent="0.4">
      <c r="A16" s="105" t="s">
        <v>38</v>
      </c>
      <c r="B16" s="118" t="s">
        <v>65</v>
      </c>
      <c r="C16" s="396" t="s">
        <v>408</v>
      </c>
      <c r="D16" s="396"/>
      <c r="E16" s="396"/>
      <c r="F16" s="396"/>
      <c r="G16" s="119">
        <f>2457.6*Скидка!B18*(1+Скидка!B21/100)*(1+Лист1!B99/100)*(1+Лист1!C99/100)*(1+Лист1!D99/100)*(1+Лист1!E99/100)</f>
        <v>2899.9679999999998</v>
      </c>
      <c r="H16" s="106">
        <f>G16*(1-(Скидка!F3/100))</f>
        <v>2899.9679999999998</v>
      </c>
    </row>
    <row r="17" spans="1:8" ht="17.149999999999999" customHeight="1" thickBot="1" x14ac:dyDescent="0.4">
      <c r="A17" s="317" t="s">
        <v>393</v>
      </c>
      <c r="B17" s="318"/>
      <c r="C17" s="318"/>
      <c r="D17" s="318"/>
      <c r="E17" s="318"/>
      <c r="F17" s="318"/>
      <c r="G17" s="318"/>
      <c r="H17" s="319"/>
    </row>
    <row r="18" spans="1:8" ht="22.75" customHeight="1" x14ac:dyDescent="0.35">
      <c r="A18" s="100" t="s">
        <v>394</v>
      </c>
      <c r="B18" s="112" t="s">
        <v>63</v>
      </c>
      <c r="C18" s="276" t="s">
        <v>407</v>
      </c>
      <c r="D18" s="276"/>
      <c r="E18" s="276"/>
      <c r="F18" s="276"/>
      <c r="G18" s="121">
        <f>2500*Скидка!B18*(1+Скидка!B21/100)*(1+Лист1!B100/100)*(1+Лист1!C100/100)*(1+Лист1!D100/100)*(1+Лист1!E100/100)</f>
        <v>2950</v>
      </c>
      <c r="H18" s="82">
        <f>G18*(1-(Скидка!F3/100))</f>
        <v>2950</v>
      </c>
    </row>
    <row r="19" spans="1:8" ht="22.75" customHeight="1" x14ac:dyDescent="0.35">
      <c r="A19" s="100" t="s">
        <v>395</v>
      </c>
      <c r="B19" s="114" t="s">
        <v>62</v>
      </c>
      <c r="C19" s="276" t="s">
        <v>407</v>
      </c>
      <c r="D19" s="276"/>
      <c r="E19" s="276"/>
      <c r="F19" s="276"/>
      <c r="G19" s="122">
        <f>2627*Скидка!B18*(1+Скидка!B21/100)*(1+Лист1!B101/100)*(1+Лист1!C101/100)*(1+Лист1!D101/100)*(1+Лист1!E101/100)</f>
        <v>3099.8599999999997</v>
      </c>
      <c r="H19" s="104">
        <f>G19*(1-(Скидка!F3/100))</f>
        <v>3099.8599999999997</v>
      </c>
    </row>
    <row r="20" spans="1:8" ht="22.75" customHeight="1" x14ac:dyDescent="0.35">
      <c r="A20" s="100" t="s">
        <v>406</v>
      </c>
      <c r="B20" s="161" t="s">
        <v>398</v>
      </c>
      <c r="C20" s="276" t="s">
        <v>407</v>
      </c>
      <c r="D20" s="276"/>
      <c r="E20" s="276"/>
      <c r="F20" s="276"/>
      <c r="G20" s="122">
        <f>2711.9*Скидка!B18*(1+Скидка!B21/100)*(1+Лист1!B102/100)*(1+Лист1!C102/100)*(1+Лист1!D102/100)*(1+Лист1!E102/100)</f>
        <v>3200.0419999999999</v>
      </c>
      <c r="H20" s="104">
        <f>G20*(1-(Скидка!F3/100))</f>
        <v>3200.0419999999999</v>
      </c>
    </row>
    <row r="21" spans="1:8" ht="22.75" customHeight="1" thickBot="1" x14ac:dyDescent="0.4">
      <c r="A21" s="100" t="s">
        <v>396</v>
      </c>
      <c r="B21" s="118" t="s">
        <v>64</v>
      </c>
      <c r="C21" s="276" t="s">
        <v>407</v>
      </c>
      <c r="D21" s="276"/>
      <c r="E21" s="276"/>
      <c r="F21" s="276"/>
      <c r="G21" s="123">
        <f>2796.6*Скидка!B18*(1+Скидка!B21/100)*(1+Лист1!B102/100)*(1+Лист1!C102/100)*(1+Лист1!D102/100)*(1+Лист1!E102/100)</f>
        <v>3299.9879999999998</v>
      </c>
      <c r="H21" s="106">
        <f>G21*(1-(Скидка!F3/100))</f>
        <v>3299.9879999999998</v>
      </c>
    </row>
    <row r="22" spans="1:8" ht="22.75" customHeight="1" thickBot="1" x14ac:dyDescent="0.4">
      <c r="A22" s="317" t="s">
        <v>397</v>
      </c>
      <c r="B22" s="318"/>
      <c r="C22" s="318"/>
      <c r="D22" s="318"/>
      <c r="E22" s="318"/>
      <c r="F22" s="318"/>
      <c r="G22" s="318"/>
      <c r="H22" s="319"/>
    </row>
    <row r="23" spans="1:8" ht="28.5" customHeight="1" x14ac:dyDescent="0.35">
      <c r="A23" s="66" t="s">
        <v>461</v>
      </c>
      <c r="B23" s="202" t="s">
        <v>399</v>
      </c>
      <c r="C23" s="375" t="s">
        <v>409</v>
      </c>
      <c r="D23" s="375"/>
      <c r="E23" s="375"/>
      <c r="F23" s="375"/>
      <c r="G23" s="121">
        <f>4491.5*Скидка!B18*(1+Скидка!B21/100)*(1+Лист1!B104/100)*(1+Лист1!C104/100)*(1+Лист1!D104/100)*(1+Лист1!E104/100)</f>
        <v>5299.9699999999993</v>
      </c>
      <c r="H23" s="82">
        <f>G23*(1-(Скидка!F3/100))</f>
        <v>5299.9699999999993</v>
      </c>
    </row>
    <row r="24" spans="1:8" ht="26.5" customHeight="1" x14ac:dyDescent="0.35">
      <c r="A24" s="66" t="s">
        <v>462</v>
      </c>
      <c r="B24" s="200" t="s">
        <v>400</v>
      </c>
      <c r="C24" s="376"/>
      <c r="D24" s="376"/>
      <c r="E24" s="376"/>
      <c r="F24" s="376"/>
      <c r="G24" s="121">
        <f>4703.4*Скидка!B18*(1+Скидка!B21/100)*(1+Лист1!B105/100)*(1+Лист1!C105/100)*(1+Лист1!D105/100)*(1+Лист1!E105/100)</f>
        <v>5550.0119999999997</v>
      </c>
      <c r="H24" s="82">
        <f>G24*(1-(Скидка!F3/100))</f>
        <v>5550.0119999999997</v>
      </c>
    </row>
    <row r="25" spans="1:8" ht="27" customHeight="1" x14ac:dyDescent="0.35">
      <c r="A25" s="66" t="s">
        <v>463</v>
      </c>
      <c r="B25" s="200" t="s">
        <v>401</v>
      </c>
      <c r="C25" s="376"/>
      <c r="D25" s="376"/>
      <c r="E25" s="376"/>
      <c r="F25" s="376"/>
      <c r="G25" s="121">
        <f>4788*Скидка!B18*(1+Скидка!B21/100)*(1+Лист1!B106/100)*(1+Лист1!C106/100)*(1+Лист1!D106/100)*(1+Лист1!E106/100)</f>
        <v>5649.84</v>
      </c>
      <c r="H25" s="82">
        <f>G25*(1-(Скидка!F3/100))</f>
        <v>5649.84</v>
      </c>
    </row>
    <row r="26" spans="1:8" ht="29.15" customHeight="1" x14ac:dyDescent="0.35">
      <c r="A26" s="66" t="s">
        <v>464</v>
      </c>
      <c r="B26" s="201" t="s">
        <v>402</v>
      </c>
      <c r="C26" s="376"/>
      <c r="D26" s="376"/>
      <c r="E26" s="376"/>
      <c r="F26" s="376"/>
      <c r="G26" s="121">
        <f>4915*Скидка!B18*(1+Скидка!B21/100)*(1+Лист1!B107/100)*(1+Лист1!C107/100)*(1+Лист1!D107/100)*(1+Лист1!E107/100)</f>
        <v>5799.7</v>
      </c>
      <c r="H26" s="82">
        <f>G26*(1-(Скидка!F3/100))</f>
        <v>5799.7</v>
      </c>
    </row>
    <row r="27" spans="1:8" ht="52" customHeight="1" thickBot="1" x14ac:dyDescent="0.4">
      <c r="A27" s="66" t="s">
        <v>465</v>
      </c>
      <c r="B27" s="200" t="s">
        <v>412</v>
      </c>
      <c r="C27" s="377" t="s">
        <v>410</v>
      </c>
      <c r="D27" s="378"/>
      <c r="E27" s="378"/>
      <c r="F27" s="379"/>
      <c r="G27" s="121">
        <f>5805*Скидка!B18*(1+Скидка!B21/100)*(1+Лист1!B108/100)*(1+Лист1!C108/100)*(1+Лист1!D108/100)*(1+Лист1!E108/100)</f>
        <v>6849.9</v>
      </c>
      <c r="H27" s="82">
        <f>G27*(1-(Скидка!F3/100))</f>
        <v>6849.9</v>
      </c>
    </row>
    <row r="28" spans="1:8" ht="22.75" customHeight="1" thickBot="1" x14ac:dyDescent="0.4">
      <c r="A28" s="317" t="s">
        <v>403</v>
      </c>
      <c r="B28" s="318"/>
      <c r="C28" s="318"/>
      <c r="D28" s="318"/>
      <c r="E28" s="318"/>
      <c r="F28" s="318"/>
      <c r="G28" s="318"/>
      <c r="H28" s="319"/>
    </row>
    <row r="29" spans="1:8" ht="37.5" customHeight="1" x14ac:dyDescent="0.35">
      <c r="A29" s="66" t="s">
        <v>466</v>
      </c>
      <c r="B29" s="202" t="s">
        <v>63</v>
      </c>
      <c r="C29" s="375" t="s">
        <v>488</v>
      </c>
      <c r="D29" s="375"/>
      <c r="E29" s="375"/>
      <c r="F29" s="375"/>
      <c r="G29" s="121">
        <f>6186.4*Скидка!B18*(1+Скидка!B21/100)*(1+Лист1!B110/100)*(1+Лист1!C110/100)*(1+Лист1!D110/100)*(1+Лист1!E110/100)</f>
        <v>7299.9519999999993</v>
      </c>
      <c r="H29" s="82">
        <f>G29*(1-(Скидка!F3/100))</f>
        <v>7299.9519999999993</v>
      </c>
    </row>
    <row r="30" spans="1:8" ht="41.5" customHeight="1" x14ac:dyDescent="0.35">
      <c r="A30" s="66" t="s">
        <v>467</v>
      </c>
      <c r="B30" s="200" t="s">
        <v>62</v>
      </c>
      <c r="C30" s="376"/>
      <c r="D30" s="376"/>
      <c r="E30" s="376"/>
      <c r="F30" s="376"/>
      <c r="G30" s="121">
        <f>6440.7*Скидка!B18*(1+Скидка!B21/100)*(1+Лист1!B111/100)*(1+Лист1!C111/100)*(1+Лист1!D111/100)*(1+Лист1!E111/100)</f>
        <v>7600.0259999999989</v>
      </c>
      <c r="H30" s="82">
        <f>G30*(1-(Скидка!F3/100))</f>
        <v>7600.0259999999989</v>
      </c>
    </row>
    <row r="31" spans="1:8" ht="40.5" customHeight="1" x14ac:dyDescent="0.35">
      <c r="A31" s="66" t="s">
        <v>468</v>
      </c>
      <c r="B31" s="200" t="s">
        <v>398</v>
      </c>
      <c r="C31" s="376"/>
      <c r="D31" s="376"/>
      <c r="E31" s="376"/>
      <c r="F31" s="376"/>
      <c r="G31" s="121">
        <f>6610*Скидка!B18*(1+Скидка!B21/100)*(1+Лист1!B112/100)*(1+Лист1!C112/100)*(1+Лист1!D112/100)*(1+Лист1!E112/100)</f>
        <v>7799.7999999999993</v>
      </c>
      <c r="H31" s="82">
        <f>G31*(1-(Скидка!F3/100))</f>
        <v>7799.7999999999993</v>
      </c>
    </row>
    <row r="32" spans="1:8" ht="35.5" customHeight="1" x14ac:dyDescent="0.35">
      <c r="A32" s="66" t="s">
        <v>469</v>
      </c>
      <c r="B32" s="200" t="s">
        <v>64</v>
      </c>
      <c r="C32" s="376"/>
      <c r="D32" s="376"/>
      <c r="E32" s="376"/>
      <c r="F32" s="376"/>
      <c r="G32" s="121">
        <f>6737.3*Скидка!B18*(1+Скидка!B21/100)*(1+Лист1!B113/100)*(1+Лист1!C113/100)*(1+Лист1!D113/100)*(1+Лист1!E113/100)</f>
        <v>7950.0140000000001</v>
      </c>
      <c r="H32" s="82">
        <f>G32*(1-(Скидка!F3/100))</f>
        <v>7950.0140000000001</v>
      </c>
    </row>
    <row r="33" spans="1:8" ht="32.5" customHeight="1" x14ac:dyDescent="0.35">
      <c r="A33" s="66" t="s">
        <v>470</v>
      </c>
      <c r="B33" s="200" t="s">
        <v>65</v>
      </c>
      <c r="C33" s="380" t="s">
        <v>480</v>
      </c>
      <c r="D33" s="381"/>
      <c r="E33" s="381"/>
      <c r="F33" s="382"/>
      <c r="G33" s="121">
        <f>8305*Скидка!B18*(1+Скидка!B21/100)*(1+Лист1!B114/100)*(1+Лист1!C114/100)*(1+Лист1!D114/100)*(1+Лист1!E114/100)</f>
        <v>9799.9</v>
      </c>
      <c r="H33" s="82">
        <f>G33*(1-(Скидка!F3/100))</f>
        <v>9799.9</v>
      </c>
    </row>
    <row r="34" spans="1:8" ht="36.65" customHeight="1" x14ac:dyDescent="0.35">
      <c r="A34" s="66" t="s">
        <v>471</v>
      </c>
      <c r="B34" s="200" t="s">
        <v>413</v>
      </c>
      <c r="C34" s="380"/>
      <c r="D34" s="381"/>
      <c r="E34" s="381"/>
      <c r="F34" s="382"/>
      <c r="G34" s="121">
        <f>11271.2*Скидка!B18*(1+Скидка!B21/100)*(1+Лист1!B115/100)*(1+Лист1!C115/100)*(1+Лист1!D115/100)*(1+Лист1!E115/100)</f>
        <v>13300.016</v>
      </c>
      <c r="H34" s="82">
        <f>G34*(1-(Скидка!F3/100))</f>
        <v>13300.016</v>
      </c>
    </row>
    <row r="35" spans="1:8" ht="39.65" customHeight="1" x14ac:dyDescent="0.35">
      <c r="A35" s="66" t="s">
        <v>472</v>
      </c>
      <c r="B35" s="200" t="s">
        <v>414</v>
      </c>
      <c r="C35" s="383"/>
      <c r="D35" s="384"/>
      <c r="E35" s="384"/>
      <c r="F35" s="385"/>
      <c r="G35" s="121">
        <f>12627*Скидка!B18*(1+Скидка!B21/100)*(1+Лист1!B116/100)*(1+Лист1!C116/100)*(1+Лист1!D116/100)*(1+Лист1!E116/100)</f>
        <v>14899.859999999999</v>
      </c>
      <c r="H35" s="82">
        <f>G35*(1-(Скидка!F3/100))</f>
        <v>14899.859999999999</v>
      </c>
    </row>
    <row r="36" spans="1:8" ht="17.149999999999999" customHeight="1" thickBot="1" x14ac:dyDescent="0.4">
      <c r="A36" s="409" t="s">
        <v>263</v>
      </c>
      <c r="B36" s="410"/>
      <c r="C36" s="410"/>
      <c r="D36" s="410"/>
      <c r="E36" s="410"/>
      <c r="F36" s="410"/>
      <c r="G36" s="410"/>
      <c r="H36" s="411"/>
    </row>
    <row r="37" spans="1:8" ht="17.149999999999999" customHeight="1" x14ac:dyDescent="0.35">
      <c r="A37" s="102" t="s">
        <v>54</v>
      </c>
      <c r="B37" s="114" t="s">
        <v>66</v>
      </c>
      <c r="C37" s="376" t="s">
        <v>286</v>
      </c>
      <c r="D37" s="376"/>
      <c r="E37" s="376"/>
      <c r="F37" s="376"/>
      <c r="G37" s="122">
        <f>16080.5*Скидка!B18*(1+Скидка!B21/100)*(1+Лист1!B115/100)*(1+Лист1!C115/100)*(1+Лист1!D115/100)*(1+Лист1!E115/100)</f>
        <v>18974.989999999998</v>
      </c>
      <c r="H37" s="104">
        <f>G37*(1-(Скидка!F3/100))</f>
        <v>18974.989999999998</v>
      </c>
    </row>
    <row r="38" spans="1:8" ht="17.149999999999999" customHeight="1" x14ac:dyDescent="0.35">
      <c r="A38" s="102" t="s">
        <v>55</v>
      </c>
      <c r="B38" s="114" t="s">
        <v>67</v>
      </c>
      <c r="C38" s="376" t="s">
        <v>286</v>
      </c>
      <c r="D38" s="376"/>
      <c r="E38" s="376"/>
      <c r="F38" s="376"/>
      <c r="G38" s="115">
        <f>16616*Скидка!B18*(1+Скидка!B21/100)*(1+Лист1!B116/100)*(1+Лист1!C116/100)*(1+Лист1!D116/100)*(1+Лист1!E116/100)</f>
        <v>19606.879999999997</v>
      </c>
      <c r="H38" s="104">
        <f>G38*(1-(Скидка!F3/100))</f>
        <v>19606.879999999997</v>
      </c>
    </row>
    <row r="39" spans="1:8" ht="17.149999999999999" customHeight="1" x14ac:dyDescent="0.35">
      <c r="A39" s="102" t="s">
        <v>56</v>
      </c>
      <c r="B39" s="114" t="s">
        <v>68</v>
      </c>
      <c r="C39" s="376" t="s">
        <v>286</v>
      </c>
      <c r="D39" s="376"/>
      <c r="E39" s="376"/>
      <c r="F39" s="376"/>
      <c r="G39" s="122">
        <f>17152.5*Скидка!B18*(1+Скидка!B21/100)*(1+Лист1!B117/100)*(1+Лист1!C117/100)*(1+Лист1!D117/100)*(1+Лист1!E117/100)</f>
        <v>20239.95</v>
      </c>
      <c r="H39" s="104">
        <f>G39*(1-(Скидка!F3/100))</f>
        <v>20239.95</v>
      </c>
    </row>
    <row r="40" spans="1:8" ht="17.149999999999999" customHeight="1" x14ac:dyDescent="0.35">
      <c r="A40" s="102" t="s">
        <v>57</v>
      </c>
      <c r="B40" s="114" t="s">
        <v>69</v>
      </c>
      <c r="C40" s="376" t="s">
        <v>286</v>
      </c>
      <c r="D40" s="376"/>
      <c r="E40" s="376"/>
      <c r="F40" s="376"/>
      <c r="G40" s="122">
        <f>21976*Скидка!B18*(1+Скидка!B21/100)*(1+Лист1!B118/100)*(1+Лист1!C118/100)*(1+Лист1!D118/100)*(1+Лист1!E118/100)</f>
        <v>25931.68</v>
      </c>
      <c r="H40" s="104">
        <f>G40*(1-(Скидка!F3/100))</f>
        <v>25931.68</v>
      </c>
    </row>
    <row r="41" spans="1:8" ht="17.149999999999999" customHeight="1" x14ac:dyDescent="0.35">
      <c r="A41" s="102" t="s">
        <v>58</v>
      </c>
      <c r="B41" s="114" t="s">
        <v>70</v>
      </c>
      <c r="C41" s="376" t="s">
        <v>286</v>
      </c>
      <c r="D41" s="376"/>
      <c r="E41" s="376"/>
      <c r="F41" s="376"/>
      <c r="G41" s="122">
        <f>23049*Скидка!B18*(1+Скидка!B21/100)*(1+Лист1!B119/100)*(1+Лист1!C119/100)*(1+Лист1!D119/100)*(1+Лист1!E119/100)</f>
        <v>27197.82</v>
      </c>
      <c r="H41" s="104">
        <f>G41*(1-(Скидка!F3/100))</f>
        <v>27197.82</v>
      </c>
    </row>
    <row r="42" spans="1:8" ht="25.5" customHeight="1" x14ac:dyDescent="0.35">
      <c r="A42" s="102" t="s">
        <v>59</v>
      </c>
      <c r="B42" s="114" t="s">
        <v>72</v>
      </c>
      <c r="C42" s="376" t="s">
        <v>411</v>
      </c>
      <c r="D42" s="376"/>
      <c r="E42" s="376"/>
      <c r="F42" s="376"/>
      <c r="G42" s="122">
        <f>63571*Скидка!B18*(1+Скидка!B21/100)*(1+Лист1!B120/100)*(1+Лист1!C120/100)*(1+Лист1!D120/100)*(1+Лист1!E120/100)</f>
        <v>75013.78</v>
      </c>
      <c r="H42" s="104">
        <f>G42*(1-(Скидка!F3/100))</f>
        <v>75013.78</v>
      </c>
    </row>
    <row r="43" spans="1:8" ht="26.5" customHeight="1" thickBot="1" x14ac:dyDescent="0.4">
      <c r="A43" s="124" t="s">
        <v>60</v>
      </c>
      <c r="B43" s="125" t="s">
        <v>71</v>
      </c>
      <c r="C43" s="417" t="s">
        <v>411</v>
      </c>
      <c r="D43" s="417"/>
      <c r="E43" s="417"/>
      <c r="F43" s="417"/>
      <c r="G43" s="126">
        <f>65286.5*Скидка!B18*(1+Скидка!B21/100)*(1+Лист1!B121/100)*(1+Лист1!C121/100)*(1+Лист1!D121/100)*(1+Лист1!E121/100)</f>
        <v>77038.069999999992</v>
      </c>
      <c r="H43" s="108">
        <f>G43*(1-(Скидка!F3/100))</f>
        <v>77038.069999999992</v>
      </c>
    </row>
    <row r="44" spans="1:8" ht="22" customHeight="1" x14ac:dyDescent="0.35">
      <c r="A44" s="418"/>
      <c r="B44" s="418"/>
      <c r="C44" s="418"/>
      <c r="D44" s="418"/>
      <c r="E44" s="418"/>
      <c r="F44" s="418"/>
      <c r="G44" s="127"/>
      <c r="H44" s="50"/>
    </row>
    <row r="45" spans="1:8" ht="22.5" hidden="1" customHeight="1" x14ac:dyDescent="0.35">
      <c r="A45" s="50"/>
      <c r="B45" s="50"/>
      <c r="C45" s="50"/>
      <c r="D45" s="50"/>
      <c r="E45" s="50"/>
      <c r="F45" s="50"/>
      <c r="G45" s="50"/>
      <c r="H45" s="50"/>
    </row>
    <row r="46" spans="1:8" ht="0.65" customHeight="1" x14ac:dyDescent="0.35">
      <c r="A46" s="50"/>
      <c r="B46" s="50"/>
      <c r="C46" s="50"/>
      <c r="D46" s="50"/>
      <c r="E46" s="50"/>
      <c r="F46" s="50"/>
      <c r="G46" s="50"/>
      <c r="H46" s="50"/>
    </row>
    <row r="47" spans="1:8" ht="34" customHeight="1" x14ac:dyDescent="0.35">
      <c r="A47" s="419" t="s">
        <v>500</v>
      </c>
      <c r="B47" s="419"/>
      <c r="C47" s="419"/>
      <c r="D47" s="419"/>
      <c r="E47" s="419"/>
      <c r="F47" s="419"/>
      <c r="G47" s="419"/>
      <c r="H47" s="419"/>
    </row>
    <row r="48" spans="1:8" ht="34" customHeight="1" x14ac:dyDescent="0.35">
      <c r="A48" s="222" t="s">
        <v>617</v>
      </c>
      <c r="B48" s="428" t="s">
        <v>615</v>
      </c>
      <c r="C48" s="428"/>
      <c r="D48" s="428"/>
      <c r="E48" s="428"/>
      <c r="F48" s="428"/>
      <c r="G48" s="223">
        <f>1355.93*Скидка!B18*(1+Скидка!B21/100)*(1+Лист1!B121/100)*(1+Лист1!C121/100)*(1+Лист1!D121/100)*(1+Лист1!E121/100)</f>
        <v>1599.9974</v>
      </c>
      <c r="H48" s="224">
        <f>G48*(1-(Скидка!F3/100))</f>
        <v>1599.9974</v>
      </c>
    </row>
    <row r="49" spans="1:8" ht="36" customHeight="1" x14ac:dyDescent="0.35">
      <c r="A49" s="128" t="s">
        <v>74</v>
      </c>
      <c r="B49" s="423" t="s">
        <v>287</v>
      </c>
      <c r="C49" s="423"/>
      <c r="D49" s="423"/>
      <c r="E49" s="423"/>
      <c r="F49" s="423"/>
      <c r="G49" s="129">
        <f>1652.6*Скидка!B18*(1+Скидка!B21/100)*(1+Лист1!B122/100)*(1+Лист1!C122/100)*(1+Лист1!D122/100)*(1+Лист1!E122/100)</f>
        <v>1950.0679999999998</v>
      </c>
      <c r="H49" s="82">
        <f>G49*(1-(Скидка!F3/100))</f>
        <v>1950.0679999999998</v>
      </c>
    </row>
    <row r="50" spans="1:8" ht="39.5" customHeight="1" x14ac:dyDescent="0.35">
      <c r="A50" s="130" t="s">
        <v>77</v>
      </c>
      <c r="B50" s="413" t="s">
        <v>288</v>
      </c>
      <c r="C50" s="413"/>
      <c r="D50" s="413"/>
      <c r="E50" s="413"/>
      <c r="F50" s="413"/>
      <c r="G50" s="55">
        <f>2796.6*Скидка!B18*(1+Скидка!B21/100)*(1+Лист1!B125/100)*(1+Лист1!C125/100)*(1+Лист1!D125/100)*(1+Лист1!E125/100)</f>
        <v>3299.9879999999998</v>
      </c>
      <c r="H50" s="104">
        <f>G50*(1-(Скидка!F3/100))</f>
        <v>3299.9879999999998</v>
      </c>
    </row>
    <row r="51" spans="1:8" ht="36.65" customHeight="1" x14ac:dyDescent="0.35">
      <c r="A51" s="130" t="s">
        <v>79</v>
      </c>
      <c r="B51" s="413" t="s">
        <v>289</v>
      </c>
      <c r="C51" s="413"/>
      <c r="D51" s="413"/>
      <c r="E51" s="413"/>
      <c r="F51" s="413"/>
      <c r="G51" s="55">
        <f>3474.5*Скидка!B18*(1+Скидка!B21/100)*(1+Лист1!B126/100)*(1+Лист1!C126/100)*(1+Лист1!D126/100)*(1+Лист1!E126/100)</f>
        <v>4099.91</v>
      </c>
      <c r="H51" s="104">
        <f>G51*(1-(Скидка!F3/100))</f>
        <v>4099.91</v>
      </c>
    </row>
    <row r="52" spans="1:8" ht="37" customHeight="1" thickBot="1" x14ac:dyDescent="0.4">
      <c r="A52" s="209" t="s">
        <v>616</v>
      </c>
      <c r="B52" s="412" t="s">
        <v>501</v>
      </c>
      <c r="C52" s="413"/>
      <c r="D52" s="413"/>
      <c r="E52" s="413"/>
      <c r="F52" s="413"/>
      <c r="G52" s="122">
        <f>2627*Скидка!B18*(1+Скидка!B21/100)*(1+Лист1!B127/100)*(1+Лист1!C127/100)*(1+Лист1!D127/100)*(1+Лист1!E127/100)</f>
        <v>3099.8599999999997</v>
      </c>
      <c r="H52" s="104">
        <f>G52*(1-(Скидка!F3/100))</f>
        <v>3099.8599999999997</v>
      </c>
    </row>
    <row r="53" spans="1:8" ht="17.149999999999999" customHeight="1" thickBot="1" x14ac:dyDescent="0.4">
      <c r="A53" s="414" t="s">
        <v>83</v>
      </c>
      <c r="B53" s="415"/>
      <c r="C53" s="415"/>
      <c r="D53" s="415"/>
      <c r="E53" s="415"/>
      <c r="F53" s="415"/>
      <c r="G53" s="415"/>
      <c r="H53" s="416"/>
    </row>
    <row r="54" spans="1:8" ht="15" thickBot="1" x14ac:dyDescent="0.4">
      <c r="A54" s="66" t="s">
        <v>272</v>
      </c>
      <c r="B54" s="420" t="s">
        <v>273</v>
      </c>
      <c r="C54" s="421"/>
      <c r="D54" s="421"/>
      <c r="E54" s="421"/>
      <c r="F54" s="422"/>
      <c r="G54" s="67">
        <f>42.3*Скидка!B18*(1+Скидка!B21/100)*(1+Лист1!B128/100)*(1+Лист1!C128/100)*(1+Лист1!D128/100)*(1+Лист1!E128/100)</f>
        <v>49.913999999999994</v>
      </c>
      <c r="H54" s="82">
        <f>G54*(1-(Скидка!F3/100))</f>
        <v>49.913999999999994</v>
      </c>
    </row>
    <row r="55" spans="1:8" ht="33" customHeight="1" thickBot="1" x14ac:dyDescent="0.4">
      <c r="A55" s="372" t="s">
        <v>264</v>
      </c>
      <c r="B55" s="373"/>
      <c r="C55" s="373"/>
      <c r="D55" s="373"/>
      <c r="E55" s="373"/>
      <c r="F55" s="373"/>
      <c r="G55" s="373"/>
      <c r="H55" s="374"/>
    </row>
    <row r="56" spans="1:8" ht="24" customHeight="1" x14ac:dyDescent="0.35">
      <c r="A56" s="131" t="s">
        <v>416</v>
      </c>
      <c r="B56" s="132" t="s">
        <v>415</v>
      </c>
      <c r="C56" s="291" t="s">
        <v>425</v>
      </c>
      <c r="D56" s="291"/>
      <c r="E56" s="291"/>
      <c r="F56" s="291"/>
      <c r="G56" s="67">
        <f>1525*Скидка!B18*(1+Скидка!B21/100)*(1+Лист1!B129/100)*(1+Лист1!C129/100)*(1+Лист1!D129/100)*(1+Лист1!E129/100)</f>
        <v>1799.5</v>
      </c>
      <c r="H56" s="82">
        <f>G56*(1-(Скидка!F3/100))</f>
        <v>1799.5</v>
      </c>
    </row>
    <row r="57" spans="1:8" ht="24" customHeight="1" x14ac:dyDescent="0.35">
      <c r="A57" s="86" t="s">
        <v>606</v>
      </c>
      <c r="B57" s="199">
        <v>3</v>
      </c>
      <c r="C57" s="375" t="s">
        <v>607</v>
      </c>
      <c r="D57" s="375"/>
      <c r="E57" s="375"/>
      <c r="F57" s="375"/>
      <c r="G57" s="123">
        <f>2584.8*Скидка!B18*(1+Скидка!B21/100)*(1+Лист1!B129/100)*(1+Лист1!C129/100)*(1+Лист1!D129/100)*(1+Лист1!E129/100)</f>
        <v>3050.0639999999999</v>
      </c>
      <c r="H57" s="106">
        <f>G57*(1-(Скидка!F3/100))</f>
        <v>3050.0639999999999</v>
      </c>
    </row>
    <row r="58" spans="1:8" ht="24" customHeight="1" x14ac:dyDescent="0.35">
      <c r="A58" s="86" t="s">
        <v>290</v>
      </c>
      <c r="B58" s="159">
        <v>3</v>
      </c>
      <c r="C58" s="375" t="s">
        <v>426</v>
      </c>
      <c r="D58" s="375"/>
      <c r="E58" s="375"/>
      <c r="F58" s="375"/>
      <c r="G58" s="123">
        <f>1991.6*Скидка!B18*(1+Скидка!B21/100)*(1+Лист1!B130/100)*(1+Лист1!C130/100)*(1+Лист1!D130/100)*(1+Лист1!E130/100)</f>
        <v>2350.0879999999997</v>
      </c>
      <c r="H58" s="106">
        <f>G58*(1-(Скидка!F3/100))</f>
        <v>2350.0879999999997</v>
      </c>
    </row>
    <row r="59" spans="1:8" ht="24" customHeight="1" x14ac:dyDescent="0.35">
      <c r="A59" s="86" t="s">
        <v>291</v>
      </c>
      <c r="B59" s="159">
        <v>4</v>
      </c>
      <c r="C59" s="375" t="s">
        <v>427</v>
      </c>
      <c r="D59" s="375"/>
      <c r="E59" s="375"/>
      <c r="F59" s="375"/>
      <c r="G59" s="123">
        <f>2033.9*Скидка!B18*(1+Скидка!B21/100)*(1+Лист1!B131/100)*(1+Лист1!C131/100)*(1+Лист1!D131/100)*(1+Лист1!E131/100)</f>
        <v>2400.002</v>
      </c>
      <c r="H59" s="106">
        <f>G59*(1-(Скидка!F3/100))</f>
        <v>2400.002</v>
      </c>
    </row>
    <row r="60" spans="1:8" ht="15" thickBot="1" x14ac:dyDescent="0.4">
      <c r="A60" s="86" t="s">
        <v>292</v>
      </c>
      <c r="B60" s="159">
        <v>5</v>
      </c>
      <c r="C60" s="375" t="s">
        <v>428</v>
      </c>
      <c r="D60" s="375"/>
      <c r="E60" s="375"/>
      <c r="F60" s="375"/>
      <c r="G60" s="123">
        <f>2076*Скидка!B18*(1+Скидка!B21/100)*(1+Лист1!B132/100)*(1+Лист1!C132/100)*(1+Лист1!D132/100)*(1+Лист1!E132/100)</f>
        <v>2449.6799999999998</v>
      </c>
      <c r="H60" s="106">
        <f>G60*(1-(Скидка!F3/100))</f>
        <v>2449.6799999999998</v>
      </c>
    </row>
    <row r="61" spans="1:8" ht="22" customHeight="1" thickBot="1" x14ac:dyDescent="0.4">
      <c r="A61" s="372" t="s">
        <v>265</v>
      </c>
      <c r="B61" s="373"/>
      <c r="C61" s="373"/>
      <c r="D61" s="373"/>
      <c r="E61" s="373"/>
      <c r="F61" s="373"/>
      <c r="G61" s="373"/>
      <c r="H61" s="374"/>
    </row>
    <row r="62" spans="1:8" ht="22" customHeight="1" x14ac:dyDescent="0.35">
      <c r="A62" s="66" t="s">
        <v>375</v>
      </c>
      <c r="B62" s="133">
        <v>4</v>
      </c>
      <c r="C62" s="291" t="s">
        <v>429</v>
      </c>
      <c r="D62" s="291"/>
      <c r="E62" s="291"/>
      <c r="F62" s="291"/>
      <c r="G62" s="67">
        <f>550.85*Скидка!B18*(1+Скидка!B21/100)*(1+Лист1!B133/100)*(1+Лист1!C133/100)*(1+Лист1!D133/100)*(1+Лист1!E133/100)</f>
        <v>650.00300000000004</v>
      </c>
      <c r="H62" s="82">
        <f>G62*(1-(Скидка!F3/100))</f>
        <v>650.00300000000004</v>
      </c>
    </row>
    <row r="63" spans="1:8" ht="25" customHeight="1" thickBot="1" x14ac:dyDescent="0.4">
      <c r="A63" s="68" t="s">
        <v>376</v>
      </c>
      <c r="B63" s="134">
        <v>6</v>
      </c>
      <c r="C63" s="386" t="s">
        <v>430</v>
      </c>
      <c r="D63" s="386"/>
      <c r="E63" s="386"/>
      <c r="F63" s="386"/>
      <c r="G63" s="55">
        <f>635.6*Скидка!B18*(1+Скидка!B21/100)*(1+Лист1!B134/100)*(1+Лист1!C134/100)*(1+Лист1!D134/100)*(1+Лист1!E134/100)</f>
        <v>750.00800000000004</v>
      </c>
      <c r="H63" s="104">
        <f>G63*(1-(Скидка!F3/100))</f>
        <v>750.00800000000004</v>
      </c>
    </row>
    <row r="64" spans="1:8" ht="22" customHeight="1" thickBot="1" x14ac:dyDescent="0.4">
      <c r="A64" s="372" t="s">
        <v>266</v>
      </c>
      <c r="B64" s="373"/>
      <c r="C64" s="373"/>
      <c r="D64" s="373"/>
      <c r="E64" s="373"/>
      <c r="F64" s="373"/>
      <c r="G64" s="373"/>
      <c r="H64" s="374"/>
    </row>
    <row r="65" spans="1:8" ht="22" customHeight="1" x14ac:dyDescent="0.35">
      <c r="A65" s="68" t="s">
        <v>377</v>
      </c>
      <c r="B65" s="134">
        <v>3</v>
      </c>
      <c r="C65" s="345" t="s">
        <v>431</v>
      </c>
      <c r="D65" s="346"/>
      <c r="E65" s="346"/>
      <c r="F65" s="347"/>
      <c r="G65" s="122">
        <f>737.3*Скидка!B18*(1+Скидка!B21/100)*(1+Лист1!B135/100)*(1+Лист1!C135/100)*(1+Лист1!D135/100)*(1+Лист1!E135/100)</f>
        <v>870.0139999999999</v>
      </c>
      <c r="H65" s="82">
        <f>G65*(1-(Скидка!F3/100))</f>
        <v>870.0139999999999</v>
      </c>
    </row>
    <row r="66" spans="1:8" ht="22" customHeight="1" x14ac:dyDescent="0.35">
      <c r="A66" s="68" t="s">
        <v>378</v>
      </c>
      <c r="B66" s="134">
        <v>6</v>
      </c>
      <c r="C66" s="345" t="s">
        <v>432</v>
      </c>
      <c r="D66" s="346"/>
      <c r="E66" s="346"/>
      <c r="F66" s="347"/>
      <c r="G66" s="122">
        <f>872.8*Скидка!B18*(1+Скидка!B21/100)*(1+Лист1!B136/100)*(1+Лист1!C136/100)*(1+Лист1!D136/100)*(1+Лист1!E136/100)</f>
        <v>1029.904</v>
      </c>
      <c r="H66" s="82">
        <f>G66*(1-(Скидка!F3/100))</f>
        <v>1029.904</v>
      </c>
    </row>
    <row r="67" spans="1:8" ht="22" customHeight="1" x14ac:dyDescent="0.35">
      <c r="A67" s="68" t="s">
        <v>404</v>
      </c>
      <c r="B67" s="134">
        <v>7.5</v>
      </c>
      <c r="C67" s="345" t="s">
        <v>433</v>
      </c>
      <c r="D67" s="346"/>
      <c r="E67" s="346"/>
      <c r="F67" s="347"/>
      <c r="G67" s="122">
        <f>898.3*Скидка!B18*(1+Скидка!B21/100)*(1+Лист1!B137/100)*(1+Лист1!C137/100)*(1+Лист1!D137/100)*(1+Лист1!E137/100)</f>
        <v>1059.9939999999999</v>
      </c>
      <c r="H67" s="82">
        <f>G67*(1-(Скидка!F3/100))</f>
        <v>1059.9939999999999</v>
      </c>
    </row>
    <row r="68" spans="1:8" ht="22" customHeight="1" x14ac:dyDescent="0.35">
      <c r="A68" s="68" t="s">
        <v>379</v>
      </c>
      <c r="B68" s="135">
        <v>9</v>
      </c>
      <c r="C68" s="376" t="s">
        <v>434</v>
      </c>
      <c r="D68" s="376"/>
      <c r="E68" s="376"/>
      <c r="F68" s="376"/>
      <c r="G68" s="122">
        <f>932*Скидка!B18*(1+Скидка!B21/100)*(1+Лист1!B137/100)*(1+Лист1!C137/100)*(1+Лист1!D137/100)*(1+Лист1!E137/100)</f>
        <v>1099.76</v>
      </c>
      <c r="H68" s="82">
        <f>G68*(1-(Скидка!F3/100))</f>
        <v>1099.76</v>
      </c>
    </row>
    <row r="69" spans="1:8" ht="22" customHeight="1" x14ac:dyDescent="0.35">
      <c r="A69" s="68" t="s">
        <v>417</v>
      </c>
      <c r="B69" s="135">
        <v>12</v>
      </c>
      <c r="C69" s="376" t="s">
        <v>435</v>
      </c>
      <c r="D69" s="376"/>
      <c r="E69" s="376"/>
      <c r="F69" s="376"/>
      <c r="G69" s="122">
        <f>974.6*Скидка!B18*(1+Скидка!B21/100)*(1+Лист1!B138/100)*(1+Лист1!C138/100)*(1+Лист1!D138/100)*(1+Лист1!E138/100)</f>
        <v>1150.028</v>
      </c>
      <c r="H69" s="82">
        <f>G69*(1-(Скидка!F4/100))</f>
        <v>1150.028</v>
      </c>
    </row>
    <row r="70" spans="1:8" ht="22" customHeight="1" x14ac:dyDescent="0.35">
      <c r="A70" s="68" t="s">
        <v>380</v>
      </c>
      <c r="B70" s="134">
        <v>3</v>
      </c>
      <c r="C70" s="345" t="s">
        <v>418</v>
      </c>
      <c r="D70" s="346"/>
      <c r="E70" s="346"/>
      <c r="F70" s="347"/>
      <c r="G70" s="122">
        <f>1050.8*Скидка!B18*(1+Скидка!B21/100)*(1+Лист1!B138/100)*(1+Лист1!C138/100)*(1+Лист1!D138/100)*(1+Лист1!E138/100)</f>
        <v>1239.944</v>
      </c>
      <c r="H70" s="104">
        <f>G70*(1-(Скидка!F3/100))</f>
        <v>1239.944</v>
      </c>
    </row>
    <row r="71" spans="1:8" ht="22" customHeight="1" x14ac:dyDescent="0.35">
      <c r="A71" s="68" t="s">
        <v>381</v>
      </c>
      <c r="B71" s="134">
        <v>6</v>
      </c>
      <c r="C71" s="345" t="s">
        <v>419</v>
      </c>
      <c r="D71" s="346"/>
      <c r="E71" s="346"/>
      <c r="F71" s="347"/>
      <c r="G71" s="122">
        <f>1211.8*Скидка!B18*(1+Скидка!B21/100)*(1+Лист1!B139/100)*(1+Лист1!C139/100)*(1+Лист1!D139/100)*(1+Лист1!E139/100)</f>
        <v>1429.924</v>
      </c>
      <c r="H71" s="104">
        <f>G71*(1-(Скидка!F3/100))</f>
        <v>1429.924</v>
      </c>
    </row>
    <row r="72" spans="1:8" ht="22" customHeight="1" x14ac:dyDescent="0.35">
      <c r="A72" s="154" t="s">
        <v>405</v>
      </c>
      <c r="B72" s="134">
        <v>7.5</v>
      </c>
      <c r="C72" s="345" t="s">
        <v>419</v>
      </c>
      <c r="D72" s="346"/>
      <c r="E72" s="346"/>
      <c r="F72" s="347"/>
      <c r="G72" s="122">
        <f>1483*Скидка!B18*(1+Скидка!B21/100)*(1+Лист1!B140/100)*(1+Лист1!C140/100)*(1+Лист1!D140/100)*(1+Лист1!E140/100)</f>
        <v>1749.9399999999998</v>
      </c>
      <c r="H72" s="104">
        <f>G72*(1-(Скидка!F3/100))</f>
        <v>1749.9399999999998</v>
      </c>
    </row>
    <row r="73" spans="1:8" ht="22" customHeight="1" x14ac:dyDescent="0.35">
      <c r="A73" s="68" t="s">
        <v>382</v>
      </c>
      <c r="B73" s="135">
        <v>9</v>
      </c>
      <c r="C73" s="376" t="s">
        <v>420</v>
      </c>
      <c r="D73" s="376"/>
      <c r="E73" s="376"/>
      <c r="F73" s="376"/>
      <c r="G73" s="122">
        <f>1644*Скидка!B18*(1+Скидка!B21/100)*(1+Лист1!B140/100)*(1+Лист1!C140/100)*(1+Лист1!D140/100)*(1+Лист1!E140/100)</f>
        <v>1939.9199999999998</v>
      </c>
      <c r="H73" s="104">
        <f>G73*(1-(Скидка!F3/100))</f>
        <v>1939.9199999999998</v>
      </c>
    </row>
    <row r="74" spans="1:8" ht="15" thickBot="1" x14ac:dyDescent="0.4">
      <c r="A74" s="68" t="s">
        <v>422</v>
      </c>
      <c r="B74" s="140">
        <v>12</v>
      </c>
      <c r="C74" s="376" t="s">
        <v>421</v>
      </c>
      <c r="D74" s="376"/>
      <c r="E74" s="376"/>
      <c r="F74" s="376"/>
      <c r="G74" s="122">
        <f>1906.8*Скидка!B18*(1+Скидка!B21/100)*(1+Лист1!B141/100)*(1+Лист1!C141/100)*(1+Лист1!D141/100)*(1+Лист1!E141/100)</f>
        <v>2250.0239999999999</v>
      </c>
      <c r="H74" s="104">
        <f>G74*(1-(Скидка!F3/100))</f>
        <v>2250.0239999999999</v>
      </c>
    </row>
    <row r="75" spans="1:8" ht="22" customHeight="1" thickBot="1" x14ac:dyDescent="0.4">
      <c r="A75" s="372" t="s">
        <v>267</v>
      </c>
      <c r="B75" s="373"/>
      <c r="C75" s="373"/>
      <c r="D75" s="373"/>
      <c r="E75" s="373"/>
      <c r="F75" s="373"/>
      <c r="G75" s="373"/>
      <c r="H75" s="374"/>
    </row>
    <row r="76" spans="1:8" ht="22" customHeight="1" x14ac:dyDescent="0.35">
      <c r="A76" s="66" t="s">
        <v>383</v>
      </c>
      <c r="B76" s="133">
        <v>3</v>
      </c>
      <c r="C76" s="345" t="s">
        <v>436</v>
      </c>
      <c r="D76" s="346"/>
      <c r="E76" s="346"/>
      <c r="F76" s="347"/>
      <c r="G76" s="113">
        <f>737.3*Скидка!B18*(1+Скидка!B21/100)*(1+Лист1!B141/100)*(1+Лист1!C141/100)*(1+Лист1!D141/100)*(1+Лист1!E141/100)</f>
        <v>870.0139999999999</v>
      </c>
      <c r="H76" s="104">
        <f>G76*(1-(Скидка!F3/100))</f>
        <v>870.0139999999999</v>
      </c>
    </row>
    <row r="77" spans="1:8" ht="22" customHeight="1" x14ac:dyDescent="0.35">
      <c r="A77" s="68" t="s">
        <v>384</v>
      </c>
      <c r="B77" s="134">
        <v>6</v>
      </c>
      <c r="C77" s="345" t="s">
        <v>437</v>
      </c>
      <c r="D77" s="346"/>
      <c r="E77" s="346"/>
      <c r="F77" s="347"/>
      <c r="G77" s="115">
        <f>872.8*Скидка!B18*(1+Скидка!B21/100)*(1+Лист1!B142/100)*(1+Лист1!C142/100)*(1+Лист1!D142/100)*(1+Лист1!E142/100)</f>
        <v>1029.904</v>
      </c>
      <c r="H77" s="104">
        <f>G77*(1-(Скидка!F3/100))</f>
        <v>1029.904</v>
      </c>
    </row>
    <row r="78" spans="1:8" ht="22" customHeight="1" x14ac:dyDescent="0.35">
      <c r="A78" s="68" t="s">
        <v>385</v>
      </c>
      <c r="B78" s="134">
        <v>9</v>
      </c>
      <c r="C78" s="376" t="s">
        <v>438</v>
      </c>
      <c r="D78" s="376"/>
      <c r="E78" s="376"/>
      <c r="F78" s="376"/>
      <c r="G78" s="115">
        <f>932*Скидка!B18*(1+Скидка!B21/100)*(1+Лист1!B143/100)*(1+Лист1!C143/100)*(1+Лист1!D143/100)*(1+Лист1!E143/100)</f>
        <v>1099.76</v>
      </c>
      <c r="H78" s="104">
        <f>G78*(1-(Скидка!F3/100))</f>
        <v>1099.76</v>
      </c>
    </row>
    <row r="79" spans="1:8" ht="22" customHeight="1" x14ac:dyDescent="0.35">
      <c r="A79" s="68" t="s">
        <v>386</v>
      </c>
      <c r="B79" s="135">
        <v>12</v>
      </c>
      <c r="C79" s="386" t="s">
        <v>439</v>
      </c>
      <c r="D79" s="386"/>
      <c r="E79" s="386"/>
      <c r="F79" s="386"/>
      <c r="G79" s="136">
        <f>1000*Скидка!B18*(1+Скидка!B21/100)*(1+Лист1!B144/100)*(1+Лист1!C144/100)*(1+Лист1!D144/100)*(1+Лист1!E144/100)</f>
        <v>1180</v>
      </c>
      <c r="H79" s="104">
        <f>G79*(1-(Скидка!F3/100))</f>
        <v>1180</v>
      </c>
    </row>
    <row r="80" spans="1:8" ht="22" customHeight="1" x14ac:dyDescent="0.35">
      <c r="A80" s="68" t="s">
        <v>387</v>
      </c>
      <c r="B80" s="134">
        <v>6</v>
      </c>
      <c r="C80" s="369" t="s">
        <v>424</v>
      </c>
      <c r="D80" s="370"/>
      <c r="E80" s="370"/>
      <c r="F80" s="371"/>
      <c r="G80" s="136">
        <f>1237.3*Скидка!B18*(1+Скидка!B21/100)*(1+Лист1!B145/100)*(1+Лист1!C145/100)*(1+Лист1!D145/100)*(1+Лист1!E145/100)</f>
        <v>1460.0139999999999</v>
      </c>
      <c r="H80" s="104">
        <f>G80*(1-(Скидка!F3/100))</f>
        <v>1460.0139999999999</v>
      </c>
    </row>
    <row r="81" spans="1:8" ht="22" customHeight="1" x14ac:dyDescent="0.35">
      <c r="A81" s="68" t="s">
        <v>388</v>
      </c>
      <c r="B81" s="134">
        <v>9</v>
      </c>
      <c r="C81" s="386" t="s">
        <v>423</v>
      </c>
      <c r="D81" s="386"/>
      <c r="E81" s="386"/>
      <c r="F81" s="386"/>
      <c r="G81" s="136">
        <f>1677.9*Скидка!B18*(1+Скидка!B21/100)*(1+Лист1!B146/100)*(1+Лист1!C146/100)*(1+Лист1!D146/100)*(1+Лист1!E146/100)</f>
        <v>1979.922</v>
      </c>
      <c r="H81" s="104">
        <f>G81*(1-(Скидка!F3/100))</f>
        <v>1979.922</v>
      </c>
    </row>
    <row r="82" spans="1:8" ht="15" customHeight="1" thickBot="1" x14ac:dyDescent="0.4">
      <c r="A82" s="68" t="s">
        <v>389</v>
      </c>
      <c r="B82" s="135">
        <v>12</v>
      </c>
      <c r="C82" s="386" t="s">
        <v>82</v>
      </c>
      <c r="D82" s="386"/>
      <c r="E82" s="386"/>
      <c r="F82" s="386"/>
      <c r="G82" s="136">
        <f>2177.9*Скидка!B18*(1+Скидка!B21/100)*(1+Лист1!B147/100)*(1+Лист1!C147/100)*(1+Лист1!D147/100)*(1+Лист1!E147/100)</f>
        <v>2569.922</v>
      </c>
      <c r="H82" s="104">
        <f>G82*(1-(Скидка!F3/100))</f>
        <v>2569.922</v>
      </c>
    </row>
    <row r="83" spans="1:8" ht="28" customHeight="1" thickBot="1" x14ac:dyDescent="0.4">
      <c r="A83" s="372" t="s">
        <v>268</v>
      </c>
      <c r="B83" s="373"/>
      <c r="C83" s="373"/>
      <c r="D83" s="373"/>
      <c r="E83" s="373"/>
      <c r="F83" s="373"/>
      <c r="G83" s="373"/>
      <c r="H83" s="374"/>
    </row>
    <row r="84" spans="1:8" ht="27" customHeight="1" x14ac:dyDescent="0.35">
      <c r="A84" s="68" t="s">
        <v>390</v>
      </c>
      <c r="B84" s="135">
        <v>6</v>
      </c>
      <c r="C84" s="401" t="s">
        <v>440</v>
      </c>
      <c r="D84" s="401"/>
      <c r="E84" s="401"/>
      <c r="F84" s="401"/>
      <c r="G84" s="136">
        <f>754*Скидка!B18*(1+Скидка!B21/100)*(1+Лист1!B148/100)*(1+Лист1!C148/100)*(1+Лист1!D148/100)*(1+Лист1!E148/100)</f>
        <v>889.71999999999991</v>
      </c>
      <c r="H84" s="104">
        <f>G84*(1-(Скидка!F3/100))</f>
        <v>889.71999999999991</v>
      </c>
    </row>
    <row r="85" spans="1:8" ht="27" customHeight="1" thickBot="1" x14ac:dyDescent="0.4">
      <c r="A85" s="137" t="s">
        <v>391</v>
      </c>
      <c r="B85" s="138">
        <v>9</v>
      </c>
      <c r="C85" s="402" t="s">
        <v>441</v>
      </c>
      <c r="D85" s="402"/>
      <c r="E85" s="402"/>
      <c r="F85" s="402"/>
      <c r="G85" s="139">
        <f>813.56*Скидка!B18*(1+Скидка!B21/100)*(1+Лист1!B149/100)*(1+Лист1!C149/100)*(1+Лист1!D149/100)*(1+Лист1!E149/100)</f>
        <v>960.00079999999991</v>
      </c>
      <c r="H85" s="108">
        <f>G85*(1-(Скидка!F3/100))</f>
        <v>960.00079999999991</v>
      </c>
    </row>
    <row r="86" spans="1:8" ht="20.5" customHeight="1" x14ac:dyDescent="0.35">
      <c r="A86" s="424" t="s">
        <v>442</v>
      </c>
      <c r="B86" s="425"/>
      <c r="C86" s="425"/>
      <c r="D86" s="425"/>
      <c r="E86" s="425"/>
      <c r="F86" s="425"/>
      <c r="G86" s="425"/>
      <c r="H86" s="426"/>
    </row>
    <row r="87" spans="1:8" ht="20.5" customHeight="1" x14ac:dyDescent="0.35">
      <c r="A87" s="154" t="s">
        <v>449</v>
      </c>
      <c r="B87" s="427" t="s">
        <v>447</v>
      </c>
      <c r="C87" s="427"/>
      <c r="D87" s="427"/>
      <c r="E87" s="427"/>
      <c r="F87" s="427"/>
      <c r="G87" s="115">
        <f>338.98*Скидка!B18*(1+Скидка!B21/100)*(1+Лист1!B151/100)*(1+Лист1!C151/100)*(1+Лист1!D151/100)*(1+Лист1!E151/100)</f>
        <v>399.99639999999999</v>
      </c>
      <c r="H87" s="103">
        <f>G87*(1-(Скидка!F5/100))</f>
        <v>399.99639999999999</v>
      </c>
    </row>
    <row r="88" spans="1:8" ht="24" customHeight="1" x14ac:dyDescent="0.35">
      <c r="A88" s="154" t="s">
        <v>450</v>
      </c>
      <c r="B88" s="427" t="s">
        <v>448</v>
      </c>
      <c r="C88" s="427"/>
      <c r="D88" s="427"/>
      <c r="E88" s="427"/>
      <c r="F88" s="427"/>
      <c r="G88" s="115">
        <f>296.61*Скидка!B18*(1+Скидка!B21/100)*(1+Лист1!B152/100)*(1+Лист1!C152/100)*(1+Лист1!D152/100)*(1+Лист1!E152/100)</f>
        <v>349.99979999999999</v>
      </c>
      <c r="H88" s="103">
        <f>G88*(1-(Скидка!F6/100))</f>
        <v>349.99979999999999</v>
      </c>
    </row>
    <row r="89" spans="1:8" ht="16" thickBot="1" x14ac:dyDescent="0.4">
      <c r="A89" s="403" t="s">
        <v>229</v>
      </c>
      <c r="B89" s="404"/>
      <c r="C89" s="404"/>
      <c r="D89" s="404"/>
      <c r="E89" s="404"/>
      <c r="F89" s="404"/>
      <c r="G89" s="404"/>
      <c r="H89" s="405"/>
    </row>
    <row r="90" spans="1:8" ht="26" x14ac:dyDescent="0.35">
      <c r="A90" s="141" t="s">
        <v>230</v>
      </c>
      <c r="B90" s="386" t="s">
        <v>164</v>
      </c>
      <c r="C90" s="386"/>
      <c r="D90" s="386"/>
      <c r="E90" s="386"/>
      <c r="F90" s="386"/>
      <c r="G90" s="55">
        <f>169.5*Скидка!B18*(1+Скидка!B21/100)*(1+Лист1!B151/100)*(1+Лист1!C151/100)*(1+Лист1!D151/100)*(1+Лист1!E151/100)</f>
        <v>200.01</v>
      </c>
      <c r="H90" s="104">
        <f>G90*(1-(Скидка!F3/100))</f>
        <v>200.01</v>
      </c>
    </row>
    <row r="91" spans="1:8" ht="26" x14ac:dyDescent="0.35">
      <c r="A91" s="141" t="s">
        <v>170</v>
      </c>
      <c r="B91" s="386" t="s">
        <v>165</v>
      </c>
      <c r="C91" s="386"/>
      <c r="D91" s="386"/>
      <c r="E91" s="386"/>
      <c r="F91" s="386"/>
      <c r="G91" s="55">
        <f>576*Скидка!B18*(1+Скидка!B21/100)*(1+Лист1!B152/100)*(1+Лист1!C152/100)*(1+Лист1!D152/100)*(1+Лист1!E152/100)</f>
        <v>679.68</v>
      </c>
      <c r="H91" s="104">
        <f>G91*(1-(Скидка!F3/100))</f>
        <v>679.68</v>
      </c>
    </row>
    <row r="92" spans="1:8" ht="26" x14ac:dyDescent="0.35">
      <c r="A92" s="141" t="s">
        <v>171</v>
      </c>
      <c r="B92" s="386" t="s">
        <v>166</v>
      </c>
      <c r="C92" s="386"/>
      <c r="D92" s="386"/>
      <c r="E92" s="386"/>
      <c r="F92" s="386"/>
      <c r="G92" s="55">
        <f>576*Скидка!B18*(1+Скидка!B21/100)*(1+Лист1!B153/100)*(1+Лист1!C153/100)*(1+Лист1!D153/100)*(1+Лист1!E153/100)</f>
        <v>679.68</v>
      </c>
      <c r="H92" s="104">
        <f>G92*(1-(Скидка!F3/100))</f>
        <v>679.68</v>
      </c>
    </row>
    <row r="93" spans="1:8" ht="42.65" customHeight="1" x14ac:dyDescent="0.35">
      <c r="A93" s="141" t="s">
        <v>172</v>
      </c>
      <c r="B93" s="287" t="s">
        <v>167</v>
      </c>
      <c r="C93" s="287"/>
      <c r="D93" s="287"/>
      <c r="E93" s="287"/>
      <c r="F93" s="287"/>
      <c r="G93" s="55">
        <f>1144*Скидка!B18*(1+Скидка!B21/100)*(1+Лист1!B154/100)*(1+Лист1!C154/100)*(1+Лист1!D154/100)*(1+Лист1!E154/100)</f>
        <v>1349.9199999999998</v>
      </c>
      <c r="H93" s="104">
        <f>G93*(1-(Скидка!F3/100))</f>
        <v>1349.9199999999998</v>
      </c>
    </row>
    <row r="94" spans="1:8" ht="26" x14ac:dyDescent="0.35">
      <c r="A94" s="141" t="s">
        <v>90</v>
      </c>
      <c r="B94" s="287" t="s">
        <v>168</v>
      </c>
      <c r="C94" s="287"/>
      <c r="D94" s="287"/>
      <c r="E94" s="287"/>
      <c r="F94" s="287"/>
      <c r="G94" s="55">
        <f>677.9*Скидка!B18*(1+Скидка!B21/100)*(1+Лист1!B155/100)*(1+Лист1!C155/100)*(1+Лист1!D155/100)*(1+Лист1!E155/100)</f>
        <v>799.92199999999991</v>
      </c>
      <c r="H94" s="104">
        <f>G94*(1-(Скидка!F3/100))</f>
        <v>799.92199999999991</v>
      </c>
    </row>
    <row r="95" spans="1:8" x14ac:dyDescent="0.35">
      <c r="A95" s="142" t="s">
        <v>91</v>
      </c>
      <c r="B95" s="302" t="s">
        <v>96</v>
      </c>
      <c r="C95" s="302"/>
      <c r="D95" s="302"/>
      <c r="E95" s="302"/>
      <c r="F95" s="302"/>
      <c r="G95" s="55">
        <f>508.5*Скидка!B18*(1+Скидка!B21/100)*(1+Лист1!B156/100)*(1+Лист1!C156/100)*(1+Лист1!D156/100)*(1+Лист1!E156/100)</f>
        <v>600.03</v>
      </c>
      <c r="H95" s="104">
        <f>G95*(1-(Скидка!F3/100))</f>
        <v>600.03</v>
      </c>
    </row>
    <row r="96" spans="1:8" x14ac:dyDescent="0.35">
      <c r="A96" s="142" t="s">
        <v>92</v>
      </c>
      <c r="B96" s="302" t="s">
        <v>97</v>
      </c>
      <c r="C96" s="302"/>
      <c r="D96" s="302"/>
      <c r="E96" s="302"/>
      <c r="F96" s="302"/>
      <c r="G96" s="55">
        <f>508.5*Скидка!B18*(1+Скидка!B21/100)*(1+Лист1!B157/100)*(1+Лист1!C157/100)*(1+Лист1!D157/100)*(1+Лист1!E157/100)</f>
        <v>600.03</v>
      </c>
      <c r="H96" s="104">
        <f>G96*(1-(Скидка!F3/100))</f>
        <v>600.03</v>
      </c>
    </row>
    <row r="97" spans="1:8" x14ac:dyDescent="0.35">
      <c r="A97" s="142" t="s">
        <v>93</v>
      </c>
      <c r="B97" s="302" t="s">
        <v>98</v>
      </c>
      <c r="C97" s="302"/>
      <c r="D97" s="302"/>
      <c r="E97" s="302"/>
      <c r="F97" s="302"/>
      <c r="G97" s="55">
        <f>508.5*Скидка!B18*(1+Скидка!B21/100)*(1+Лист1!B158/100)*(1+Лист1!C158/100)*(1+Лист1!D158/100)*(1+Лист1!E158/100)</f>
        <v>600.03</v>
      </c>
      <c r="H97" s="104">
        <f>G97*(1-(Скидка!F3/100))</f>
        <v>600.03</v>
      </c>
    </row>
    <row r="98" spans="1:8" x14ac:dyDescent="0.35">
      <c r="A98" s="142" t="s">
        <v>94</v>
      </c>
      <c r="B98" s="302" t="s">
        <v>99</v>
      </c>
      <c r="C98" s="302"/>
      <c r="D98" s="302"/>
      <c r="E98" s="302"/>
      <c r="F98" s="302"/>
      <c r="G98" s="55">
        <f>593.2*Скидка!B18*(1+Скидка!B21/100)*(1+Лист1!B159/100)*(1+Лист1!C159/100)*(1+Лист1!D159/100)*(1+Лист1!E159/100)</f>
        <v>699.976</v>
      </c>
      <c r="H98" s="104">
        <f>G98*(1-(Скидка!F3/100))</f>
        <v>699.976</v>
      </c>
    </row>
    <row r="99" spans="1:8" ht="24" customHeight="1" thickBot="1" x14ac:dyDescent="0.4">
      <c r="A99" s="142" t="s">
        <v>95</v>
      </c>
      <c r="B99" s="302" t="s">
        <v>100</v>
      </c>
      <c r="C99" s="302"/>
      <c r="D99" s="302"/>
      <c r="E99" s="302"/>
      <c r="F99" s="302"/>
      <c r="G99" s="55">
        <f>838.9*Скидка!B18*(1+Скидка!B21/100)*(1+Лист1!B160/100)*(1+Лист1!C160/100)*(1+Лист1!D160/100)*(1+Лист1!E160/100)</f>
        <v>989.90199999999993</v>
      </c>
      <c r="H99" s="104">
        <f>G99*(1-(Скидка!F3/100))</f>
        <v>989.90199999999993</v>
      </c>
    </row>
    <row r="100" spans="1:8" ht="38.5" customHeight="1" thickBot="1" x14ac:dyDescent="0.4">
      <c r="A100" s="406" t="s">
        <v>180</v>
      </c>
      <c r="B100" s="407"/>
      <c r="C100" s="407"/>
      <c r="D100" s="407"/>
      <c r="E100" s="407"/>
      <c r="F100" s="407"/>
      <c r="G100" s="407"/>
      <c r="H100" s="408"/>
    </row>
    <row r="101" spans="1:8" ht="42.65" customHeight="1" x14ac:dyDescent="0.35">
      <c r="A101" s="100" t="s">
        <v>181</v>
      </c>
      <c r="B101" s="112" t="s">
        <v>184</v>
      </c>
      <c r="C101" s="375" t="s">
        <v>187</v>
      </c>
      <c r="D101" s="375"/>
      <c r="E101" s="375"/>
      <c r="F101" s="375"/>
      <c r="G101" s="101">
        <f>2924*Скидка!B18*(1+Скидка!B21/100)*(1+Лист1!B161/100)*(1+Лист1!C161/100)*(1+Лист1!D161/100)*(1+Лист1!E161/100)</f>
        <v>3450.3199999999997</v>
      </c>
      <c r="H101" s="104">
        <f>G101*(1-(Скидка!F3/100))</f>
        <v>3450.3199999999997</v>
      </c>
    </row>
    <row r="102" spans="1:8" ht="38.15" customHeight="1" x14ac:dyDescent="0.35">
      <c r="A102" s="102" t="s">
        <v>183</v>
      </c>
      <c r="B102" s="114" t="s">
        <v>185</v>
      </c>
      <c r="C102" s="375" t="s">
        <v>187</v>
      </c>
      <c r="D102" s="375"/>
      <c r="E102" s="375"/>
      <c r="F102" s="375"/>
      <c r="G102" s="103">
        <f>3983*Скидка!B18*(1+Скидка!B21/100)*(1+Лист1!B162/100)*(1+Лист1!C162/100)*(1+Лист1!D162/100)*(1+Лист1!E162/100)</f>
        <v>4699.9399999999996</v>
      </c>
      <c r="H102" s="104">
        <f>G102*(1-(Скидка!F3/100))</f>
        <v>4699.9399999999996</v>
      </c>
    </row>
    <row r="103" spans="1:8" x14ac:dyDescent="0.35">
      <c r="A103" s="160" t="s">
        <v>182</v>
      </c>
      <c r="B103" s="155" t="s">
        <v>186</v>
      </c>
      <c r="C103" s="376" t="s">
        <v>188</v>
      </c>
      <c r="D103" s="376"/>
      <c r="E103" s="376"/>
      <c r="F103" s="376"/>
      <c r="G103" s="54">
        <f>6237*Скидка!B18*(1+Скидка!B21/100)*(1+Лист1!B163/100)*(1+Лист1!C163/100)*(1+Лист1!D163/100)*(1+Лист1!E163/100)</f>
        <v>7359.66</v>
      </c>
      <c r="H103" s="103">
        <f>G103*(1-(Скидка!F3/100))</f>
        <v>7359.66</v>
      </c>
    </row>
  </sheetData>
  <sheetProtection formatCells="0" formatColumns="0" formatRows="0" insertColumns="0" insertRows="0" insertHyperlinks="0" deleteColumns="0" deleteRows="0" sort="0" autoFilter="0" pivotTables="0"/>
  <mergeCells count="93">
    <mergeCell ref="C57:F57"/>
    <mergeCell ref="B48:F48"/>
    <mergeCell ref="C65:F65"/>
    <mergeCell ref="C60:F60"/>
    <mergeCell ref="A64:H64"/>
    <mergeCell ref="C58:F58"/>
    <mergeCell ref="C59:F59"/>
    <mergeCell ref="C37:F37"/>
    <mergeCell ref="C81:F81"/>
    <mergeCell ref="C101:F101"/>
    <mergeCell ref="C102:F102"/>
    <mergeCell ref="C82:F82"/>
    <mergeCell ref="A83:H83"/>
    <mergeCell ref="A86:H86"/>
    <mergeCell ref="B87:F87"/>
    <mergeCell ref="B88:F88"/>
    <mergeCell ref="C56:F56"/>
    <mergeCell ref="C62:F62"/>
    <mergeCell ref="C63:F63"/>
    <mergeCell ref="C66:F66"/>
    <mergeCell ref="C70:F70"/>
    <mergeCell ref="C68:F68"/>
    <mergeCell ref="B51:F51"/>
    <mergeCell ref="B99:F99"/>
    <mergeCell ref="A100:H100"/>
    <mergeCell ref="A36:H36"/>
    <mergeCell ref="A55:H55"/>
    <mergeCell ref="B52:F52"/>
    <mergeCell ref="A53:H53"/>
    <mergeCell ref="C39:F39"/>
    <mergeCell ref="C40:F40"/>
    <mergeCell ref="C41:F41"/>
    <mergeCell ref="C42:F42"/>
    <mergeCell ref="C43:F43"/>
    <mergeCell ref="A44:F44"/>
    <mergeCell ref="A47:H47"/>
    <mergeCell ref="B50:F50"/>
    <mergeCell ref="B54:F54"/>
    <mergeCell ref="B49:F49"/>
    <mergeCell ref="C77:F77"/>
    <mergeCell ref="C71:F71"/>
    <mergeCell ref="C73:F73"/>
    <mergeCell ref="C103:F103"/>
    <mergeCell ref="B97:F97"/>
    <mergeCell ref="C84:F84"/>
    <mergeCell ref="C85:F85"/>
    <mergeCell ref="A89:H89"/>
    <mergeCell ref="B90:F90"/>
    <mergeCell ref="B91:F91"/>
    <mergeCell ref="B92:F92"/>
    <mergeCell ref="B93:F93"/>
    <mergeCell ref="B94:F94"/>
    <mergeCell ref="B95:F95"/>
    <mergeCell ref="B96:F96"/>
    <mergeCell ref="B98:F98"/>
    <mergeCell ref="D1:H1"/>
    <mergeCell ref="D2:H2"/>
    <mergeCell ref="D3:H3"/>
    <mergeCell ref="A7:G8"/>
    <mergeCell ref="B5:E5"/>
    <mergeCell ref="H7:H8"/>
    <mergeCell ref="A12:H12"/>
    <mergeCell ref="C38:F38"/>
    <mergeCell ref="A22:H22"/>
    <mergeCell ref="A9:A10"/>
    <mergeCell ref="B9:B10"/>
    <mergeCell ref="C9:F10"/>
    <mergeCell ref="A11:H11"/>
    <mergeCell ref="C13:F13"/>
    <mergeCell ref="C14:F14"/>
    <mergeCell ref="C15:F15"/>
    <mergeCell ref="C16:F16"/>
    <mergeCell ref="C18:F18"/>
    <mergeCell ref="G9:G10"/>
    <mergeCell ref="C19:F19"/>
    <mergeCell ref="C21:F21"/>
    <mergeCell ref="A17:H17"/>
    <mergeCell ref="C80:F80"/>
    <mergeCell ref="A61:H61"/>
    <mergeCell ref="C20:F20"/>
    <mergeCell ref="C23:F26"/>
    <mergeCell ref="C27:F27"/>
    <mergeCell ref="C29:F32"/>
    <mergeCell ref="C33:F35"/>
    <mergeCell ref="A28:H28"/>
    <mergeCell ref="A75:H75"/>
    <mergeCell ref="C78:F78"/>
    <mergeCell ref="C79:F79"/>
    <mergeCell ref="C67:F67"/>
    <mergeCell ref="C72:F72"/>
    <mergeCell ref="C69:F69"/>
    <mergeCell ref="C74:F74"/>
    <mergeCell ref="C76:F76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8BE"/>
  </sheetPr>
  <dimension ref="A1:I43"/>
  <sheetViews>
    <sheetView showGridLines="0" showRowColHeaders="0" showRuler="0" view="pageBreakPreview" zoomScaleNormal="100" zoomScaleSheetLayoutView="100" workbookViewId="0">
      <selection activeCell="B26" sqref="B26:F26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0.7265625" customWidth="1"/>
    <col min="9" max="9" width="3.453125" customWidth="1"/>
  </cols>
  <sheetData>
    <row r="1" spans="1:9" ht="21" customHeight="1" x14ac:dyDescent="0.65">
      <c r="D1" s="313" t="s">
        <v>0</v>
      </c>
      <c r="E1" s="313"/>
      <c r="F1" s="313"/>
      <c r="G1" s="313"/>
      <c r="H1" s="313"/>
      <c r="I1" s="3"/>
    </row>
    <row r="2" spans="1:9" ht="15.5" x14ac:dyDescent="0.35">
      <c r="D2" s="236" t="s">
        <v>1</v>
      </c>
      <c r="E2" s="236"/>
      <c r="F2" s="236"/>
      <c r="G2" s="236"/>
      <c r="H2" s="236"/>
      <c r="I2" s="4"/>
    </row>
    <row r="3" spans="1:9" x14ac:dyDescent="0.35">
      <c r="D3" s="237" t="s">
        <v>2</v>
      </c>
      <c r="E3" s="237"/>
      <c r="F3" s="237"/>
      <c r="G3" s="237"/>
      <c r="H3" s="237"/>
      <c r="I3" s="1"/>
    </row>
    <row r="4" spans="1:9" ht="6.75" customHeight="1" x14ac:dyDescent="0.35"/>
    <row r="5" spans="1:9" ht="15.5" x14ac:dyDescent="0.35">
      <c r="A5" s="46" t="s">
        <v>276</v>
      </c>
      <c r="B5" s="243" t="s">
        <v>217</v>
      </c>
      <c r="C5" s="243"/>
      <c r="D5" s="243"/>
      <c r="E5" s="243"/>
      <c r="F5" s="47">
        <f>Скидка!B15</f>
        <v>43159</v>
      </c>
      <c r="G5" s="95"/>
      <c r="H5" s="96"/>
      <c r="I5" s="9"/>
    </row>
    <row r="6" spans="1:9" ht="3.75" customHeight="1" x14ac:dyDescent="0.35">
      <c r="A6" s="50"/>
      <c r="B6" s="50"/>
      <c r="C6" s="50"/>
      <c r="D6" s="50"/>
      <c r="E6" s="50"/>
      <c r="F6" s="50"/>
      <c r="G6" s="50"/>
      <c r="H6" s="50"/>
    </row>
    <row r="7" spans="1:9" ht="2.15" customHeight="1" thickBot="1" x14ac:dyDescent="0.4">
      <c r="A7" s="97"/>
      <c r="B7" s="97"/>
      <c r="C7" s="97"/>
      <c r="D7" s="97"/>
      <c r="E7" s="97"/>
      <c r="F7" s="97"/>
      <c r="G7" s="97"/>
      <c r="H7" s="97"/>
      <c r="I7" s="5"/>
    </row>
    <row r="8" spans="1:9" ht="29.5" customHeight="1" thickBot="1" x14ac:dyDescent="0.4">
      <c r="A8" s="358" t="s">
        <v>312</v>
      </c>
      <c r="B8" s="358"/>
      <c r="C8" s="358"/>
      <c r="D8" s="358"/>
      <c r="E8" s="358"/>
      <c r="F8" s="358"/>
      <c r="G8" s="358"/>
      <c r="H8" s="143" t="s">
        <v>487</v>
      </c>
      <c r="I8" s="6"/>
    </row>
    <row r="9" spans="1:9" ht="27" customHeight="1" x14ac:dyDescent="0.35">
      <c r="A9" s="445" t="s">
        <v>3</v>
      </c>
      <c r="B9" s="447" t="s">
        <v>4</v>
      </c>
      <c r="C9" s="448"/>
      <c r="D9" s="448"/>
      <c r="E9" s="448"/>
      <c r="F9" s="449"/>
      <c r="G9" s="440" t="s">
        <v>214</v>
      </c>
      <c r="H9" s="167" t="s">
        <v>215</v>
      </c>
    </row>
    <row r="10" spans="1:9" ht="26.25" customHeight="1" thickBot="1" x14ac:dyDescent="0.4">
      <c r="A10" s="446"/>
      <c r="B10" s="450"/>
      <c r="C10" s="451"/>
      <c r="D10" s="451"/>
      <c r="E10" s="451"/>
      <c r="F10" s="452"/>
      <c r="G10" s="441"/>
      <c r="H10" s="181">
        <f>Скидка!G3</f>
        <v>0</v>
      </c>
    </row>
    <row r="11" spans="1:9" ht="28.4" customHeight="1" thickBot="1" x14ac:dyDescent="0.4">
      <c r="A11" s="409" t="s">
        <v>190</v>
      </c>
      <c r="B11" s="410"/>
      <c r="C11" s="410"/>
      <c r="D11" s="410"/>
      <c r="E11" s="410"/>
      <c r="F11" s="410"/>
      <c r="G11" s="410"/>
      <c r="H11" s="411"/>
    </row>
    <row r="12" spans="1:9" x14ac:dyDescent="0.35">
      <c r="A12" s="100" t="s">
        <v>204</v>
      </c>
      <c r="B12" s="342" t="s">
        <v>351</v>
      </c>
      <c r="C12" s="342"/>
      <c r="D12" s="342"/>
      <c r="E12" s="342"/>
      <c r="F12" s="342"/>
      <c r="G12" s="101">
        <f>889.8*Скидка!B18*(1+Скидка!B21/100)*(1+Лист1!B165/100)*(1+Лист1!C165/100)*(1+Лист1!D165/100)*(1+Лист1!E165/100)</f>
        <v>1049.9639999999999</v>
      </c>
      <c r="H12" s="82">
        <f>G12*((1-(Скидка!G3/100))-(Скидка!B9/100))</f>
        <v>1049.9639999999999</v>
      </c>
    </row>
    <row r="13" spans="1:9" ht="15" thickBot="1" x14ac:dyDescent="0.4">
      <c r="A13" s="105" t="s">
        <v>191</v>
      </c>
      <c r="B13" s="453" t="s">
        <v>352</v>
      </c>
      <c r="C13" s="453"/>
      <c r="D13" s="453"/>
      <c r="E13" s="453"/>
      <c r="F13" s="453"/>
      <c r="G13" s="150">
        <f>2838.9*Скидка!B18*(1+Скидка!B21/100)*(1+Лист1!B166/100)*(1+Лист1!C166/100)*(1+Лист1!D166/100)*(1+Лист1!E166/100)</f>
        <v>3349.902</v>
      </c>
      <c r="H13" s="82">
        <f>G13*((1-(Скидка!G3/100))-(Скидка!B9/100))</f>
        <v>3349.902</v>
      </c>
    </row>
    <row r="14" spans="1:9" ht="28.4" customHeight="1" thickBot="1" x14ac:dyDescent="0.4">
      <c r="A14" s="317" t="s">
        <v>192</v>
      </c>
      <c r="B14" s="318"/>
      <c r="C14" s="318"/>
      <c r="D14" s="318"/>
      <c r="E14" s="318"/>
      <c r="F14" s="318"/>
      <c r="G14" s="318"/>
      <c r="H14" s="319"/>
    </row>
    <row r="15" spans="1:9" x14ac:dyDescent="0.35">
      <c r="A15" s="66" t="s">
        <v>193</v>
      </c>
      <c r="B15" s="442" t="s">
        <v>353</v>
      </c>
      <c r="C15" s="443"/>
      <c r="D15" s="443"/>
      <c r="E15" s="443"/>
      <c r="F15" s="444"/>
      <c r="G15" s="113">
        <f>6101.7*Скидка!B18*(1+Скидка!B21/100)*(1+Лист1!B167/100)*(1+Лист1!C167/100)*(1+Лист1!D167/100)*(1+Лист1!E167/100)</f>
        <v>7200.0059999999994</v>
      </c>
      <c r="H15" s="82">
        <f>G15*((1-(Скидка!G3/100))-(Скидка!B9/100))</f>
        <v>7200.0059999999994</v>
      </c>
    </row>
    <row r="16" spans="1:9" ht="15" thickBot="1" x14ac:dyDescent="0.4">
      <c r="A16" s="69" t="s">
        <v>194</v>
      </c>
      <c r="B16" s="454" t="s">
        <v>354</v>
      </c>
      <c r="C16" s="455"/>
      <c r="D16" s="455"/>
      <c r="E16" s="455"/>
      <c r="F16" s="456"/>
      <c r="G16" s="123">
        <f>5423.7*Скидка!B18*(1+Скидка!B21/100)*(1+Лист1!B168/100)*(1+Лист1!C168/100)*(1+Лист1!D168/100)*(1+Лист1!E168/100)</f>
        <v>6399.9659999999994</v>
      </c>
      <c r="H16" s="82">
        <f>G16*((1-(Скидка!G3/100))-(Скидка!B9/100))</f>
        <v>6399.9659999999994</v>
      </c>
    </row>
    <row r="17" spans="1:8" ht="28.4" customHeight="1" thickBot="1" x14ac:dyDescent="0.4">
      <c r="A17" s="264" t="s">
        <v>195</v>
      </c>
      <c r="B17" s="265"/>
      <c r="C17" s="265"/>
      <c r="D17" s="265"/>
      <c r="E17" s="265"/>
      <c r="F17" s="265"/>
      <c r="G17" s="265"/>
      <c r="H17" s="266"/>
    </row>
    <row r="18" spans="1:8" x14ac:dyDescent="0.35">
      <c r="A18" s="100" t="s">
        <v>196</v>
      </c>
      <c r="B18" s="442" t="s">
        <v>198</v>
      </c>
      <c r="C18" s="443"/>
      <c r="D18" s="443"/>
      <c r="E18" s="443"/>
      <c r="F18" s="444"/>
      <c r="G18" s="121">
        <f>1991.53*Скидка!B18*(1+Скидка!B21/100)*(1+Лист1!B169/100)*(1+Лист1!C169/100)*(1+Лист1!D169/100)*(1+Лист1!E169/100)</f>
        <v>2350.0054</v>
      </c>
      <c r="H18" s="82">
        <f>G18*(1-(Скидка!G3/100))</f>
        <v>2350.0054</v>
      </c>
    </row>
    <row r="19" spans="1:8" ht="15" thickBot="1" x14ac:dyDescent="0.4">
      <c r="A19" s="105" t="s">
        <v>197</v>
      </c>
      <c r="B19" s="454" t="s">
        <v>199</v>
      </c>
      <c r="C19" s="455"/>
      <c r="D19" s="455"/>
      <c r="E19" s="455"/>
      <c r="F19" s="456"/>
      <c r="G19" s="70">
        <f>1779.6*Скидка!B18*(1+Скидка!B21/100)*(1+Лист1!B170/100)*(1+Лист1!C170/100)*(1+Лист1!D170/100)*(1+Лист1!E170/100)</f>
        <v>2099.9279999999999</v>
      </c>
      <c r="H19" s="82">
        <f>G19*(1-(Скидка!G3/100))</f>
        <v>2099.9279999999999</v>
      </c>
    </row>
    <row r="20" spans="1:8" ht="28.4" customHeight="1" thickBot="1" x14ac:dyDescent="0.4">
      <c r="A20" s="317" t="s">
        <v>338</v>
      </c>
      <c r="B20" s="318"/>
      <c r="C20" s="318"/>
      <c r="D20" s="318"/>
      <c r="E20" s="318"/>
      <c r="F20" s="318"/>
      <c r="G20" s="318"/>
      <c r="H20" s="319"/>
    </row>
    <row r="21" spans="1:8" x14ac:dyDescent="0.35">
      <c r="A21" s="151" t="s">
        <v>176</v>
      </c>
      <c r="B21" s="439" t="s">
        <v>355</v>
      </c>
      <c r="C21" s="439"/>
      <c r="D21" s="439"/>
      <c r="E21" s="439"/>
      <c r="F21" s="439"/>
      <c r="G21" s="152">
        <f>2940.7*Скидка!B18*(1+Скидка!B21/100)*(1+Лист1!B171/100)*(1+Лист1!C171/100)*(1+Лист1!D171/100)*(1+Лист1!E171/100)</f>
        <v>3470.0259999999994</v>
      </c>
      <c r="H21" s="153">
        <f>G21*((1-(Скидка!G3/100))-(Скидка!B9/100))</f>
        <v>3470.0259999999994</v>
      </c>
    </row>
    <row r="22" spans="1:8" x14ac:dyDescent="0.35">
      <c r="A22" s="68" t="s">
        <v>179</v>
      </c>
      <c r="B22" s="329" t="s">
        <v>341</v>
      </c>
      <c r="C22" s="329"/>
      <c r="D22" s="329"/>
      <c r="E22" s="329"/>
      <c r="F22" s="329"/>
      <c r="G22" s="122">
        <f>762.7*Скидка!B18*(1+Скидка!B21/100)*(1+Лист1!B172/100)*(1+Лист1!C172/100)*(1+Лист1!D172/100)*(1+Лист1!E172/100)</f>
        <v>899.98599999999999</v>
      </c>
      <c r="H22" s="82">
        <f>G22*(1-(Скидка!G3/100))</f>
        <v>899.98599999999999</v>
      </c>
    </row>
    <row r="23" spans="1:8" x14ac:dyDescent="0.35">
      <c r="A23" s="154" t="s">
        <v>177</v>
      </c>
      <c r="B23" s="329" t="s">
        <v>356</v>
      </c>
      <c r="C23" s="329"/>
      <c r="D23" s="329"/>
      <c r="E23" s="329"/>
      <c r="F23" s="329"/>
      <c r="G23" s="122">
        <f>9711.86*Скидка!B18*(1+Скидка!B21/100)*(1+Лист1!B173/100)*(1+Лист1!C173/100)*(1+Лист1!D173/100)*(1+Лист1!E173/100)</f>
        <v>11459.9948</v>
      </c>
      <c r="H23" s="103">
        <f>G23*((1-(Скидка!G3/100))-(Скидка!B9/100))</f>
        <v>11459.9948</v>
      </c>
    </row>
    <row r="24" spans="1:8" x14ac:dyDescent="0.35">
      <c r="A24" s="154" t="s">
        <v>178</v>
      </c>
      <c r="B24" s="329" t="s">
        <v>357</v>
      </c>
      <c r="C24" s="329"/>
      <c r="D24" s="329"/>
      <c r="E24" s="329"/>
      <c r="F24" s="329"/>
      <c r="G24" s="122">
        <f>237.3*Скидка!B18*(1+Скидка!B21/100)*(1+Лист1!B174/100)*(1+Лист1!C174/100)*(1+Лист1!D174/100)*(1+Лист1!E174/100)</f>
        <v>280.01400000000001</v>
      </c>
      <c r="H24" s="103">
        <f>G24*((1-(Скидка!G3/100))-(Скидка!B9/100))</f>
        <v>280.01400000000001</v>
      </c>
    </row>
    <row r="25" spans="1:8" ht="28" customHeight="1" x14ac:dyDescent="0.35">
      <c r="A25" s="154" t="s">
        <v>358</v>
      </c>
      <c r="B25" s="329" t="s">
        <v>510</v>
      </c>
      <c r="C25" s="329"/>
      <c r="D25" s="329"/>
      <c r="E25" s="329"/>
      <c r="F25" s="329"/>
      <c r="G25" s="122">
        <f>1864*Скидка!B18*(1+Скидка!B21/100)*(1+Лист1!B175/100)*(1+Лист1!C175/100)*(1+Лист1!D175/100)*(1+Лист1!E175/100)</f>
        <v>2199.52</v>
      </c>
      <c r="H25" s="103">
        <f>G25*((1-(Скидка!G3/100))-(Скидка!B9/100))</f>
        <v>2199.52</v>
      </c>
    </row>
    <row r="26" spans="1:8" ht="54" customHeight="1" x14ac:dyDescent="0.35">
      <c r="A26" s="154" t="s">
        <v>340</v>
      </c>
      <c r="B26" s="329" t="s">
        <v>511</v>
      </c>
      <c r="C26" s="329"/>
      <c r="D26" s="329"/>
      <c r="E26" s="329"/>
      <c r="F26" s="329"/>
      <c r="G26" s="122">
        <f>3305*Скидка!B18*(1+Скидка!B21/100)*(1+Лист1!B176/100)*(1+Лист1!C176/100)*(1+Лист1!D176/100)*(1+Лист1!E176/100)</f>
        <v>3899.8999999999996</v>
      </c>
      <c r="H26" s="103">
        <f>G26*((1-(Скидка!G3/100))-(Скидка!B9/100))</f>
        <v>3899.8999999999996</v>
      </c>
    </row>
    <row r="27" spans="1:8" ht="66" customHeight="1" x14ac:dyDescent="0.35">
      <c r="A27" s="154" t="s">
        <v>366</v>
      </c>
      <c r="B27" s="329" t="s">
        <v>618</v>
      </c>
      <c r="C27" s="329"/>
      <c r="D27" s="329"/>
      <c r="E27" s="329"/>
      <c r="F27" s="329"/>
      <c r="G27" s="122">
        <f>6355.9*Скидка!B18*(1+Скидка!B21/100)*(1+Лист1!B177/100)*(1+Лист1!C177/100)*(1+Лист1!D177/100)*(1+Лист1!E177/100)</f>
        <v>7499.9619999999995</v>
      </c>
      <c r="H27" s="103">
        <f>G27*((1-(Скидка!G3/100))-(Скидка!B10/100))</f>
        <v>7499.9619999999995</v>
      </c>
    </row>
    <row r="28" spans="1:8" ht="31" customHeight="1" x14ac:dyDescent="0.35">
      <c r="A28" s="154" t="s">
        <v>367</v>
      </c>
      <c r="B28" s="429" t="s">
        <v>368</v>
      </c>
      <c r="C28" s="430"/>
      <c r="D28" s="430"/>
      <c r="E28" s="430"/>
      <c r="F28" s="431"/>
      <c r="G28" s="122">
        <f>1144*Скидка!B18*(1+Скидка!B21/100)*(1+Лист1!B178/100)*(1+Лист1!C178/100)*(1+Лист1!D178/100)*(1+Лист1!E178/100)</f>
        <v>1349.9199999999998</v>
      </c>
      <c r="H28" s="103">
        <f>G28*((1-(Скидка!G3/100))-(Скидка!B11/100))</f>
        <v>1349.9199999999998</v>
      </c>
    </row>
    <row r="29" spans="1:8" ht="28.4" customHeight="1" thickBot="1" x14ac:dyDescent="0.4">
      <c r="A29" s="436" t="s">
        <v>232</v>
      </c>
      <c r="B29" s="288"/>
      <c r="C29" s="288"/>
      <c r="D29" s="288"/>
      <c r="E29" s="288"/>
      <c r="F29" s="288"/>
      <c r="G29" s="288"/>
      <c r="H29" s="289"/>
    </row>
    <row r="30" spans="1:8" ht="16.5" customHeight="1" x14ac:dyDescent="0.35">
      <c r="A30" s="144" t="s">
        <v>134</v>
      </c>
      <c r="B30" s="437" t="s">
        <v>136</v>
      </c>
      <c r="C30" s="437"/>
      <c r="D30" s="437"/>
      <c r="E30" s="437"/>
      <c r="F30" s="437"/>
      <c r="G30" s="74">
        <f>593*Скидка!B18*(1+Скидка!B21/100)*(1+Лист1!B177/100)*(1+Лист1!C177/100)*(1+Лист1!D177/100)*(1+Лист1!E177/100)</f>
        <v>699.74</v>
      </c>
      <c r="H30" s="61">
        <f>G30*(1-(Скидка!G3/100))</f>
        <v>699.74</v>
      </c>
    </row>
    <row r="31" spans="1:8" ht="15" customHeight="1" thickBot="1" x14ac:dyDescent="0.4">
      <c r="A31" s="145" t="s">
        <v>135</v>
      </c>
      <c r="B31" s="438" t="s">
        <v>137</v>
      </c>
      <c r="C31" s="438"/>
      <c r="D31" s="438"/>
      <c r="E31" s="438"/>
      <c r="F31" s="438"/>
      <c r="G31" s="78">
        <f>694.9*Скидка!B18*(1+Скидка!B21/100)*(1+Лист1!B178/100)*(1+Лист1!C178/100)*(1+Лист1!D178/100)*(1+Лист1!E178/100)</f>
        <v>819.98199999999997</v>
      </c>
      <c r="H31" s="79">
        <f>G31*(1-(Скидка!G3/100))</f>
        <v>819.98199999999997</v>
      </c>
    </row>
    <row r="32" spans="1:8" ht="28.4" customHeight="1" thickBot="1" x14ac:dyDescent="0.4">
      <c r="A32" s="270" t="s">
        <v>319</v>
      </c>
      <c r="B32" s="271"/>
      <c r="C32" s="271"/>
      <c r="D32" s="271"/>
      <c r="E32" s="271"/>
      <c r="F32" s="271"/>
      <c r="G32" s="271"/>
      <c r="H32" s="272"/>
    </row>
    <row r="33" spans="1:8" ht="27.65" customHeight="1" x14ac:dyDescent="0.35">
      <c r="A33" s="146" t="s">
        <v>314</v>
      </c>
      <c r="B33" s="435" t="s">
        <v>369</v>
      </c>
      <c r="C33" s="435"/>
      <c r="D33" s="435"/>
      <c r="E33" s="435"/>
      <c r="F33" s="435"/>
      <c r="G33" s="147">
        <f>80.5*Скидка!B18*(1+Скидка!B21/100)*(1+Лист1!B179/100)*(1+Лист1!C179/100)*(1+Лист1!D179/100)*(1+Лист1!E179/100)</f>
        <v>94.99</v>
      </c>
      <c r="H33" s="148">
        <f>G33*(1-(Скидка!G3/100))</f>
        <v>94.99</v>
      </c>
    </row>
    <row r="34" spans="1:8" ht="35.5" customHeight="1" x14ac:dyDescent="0.35">
      <c r="A34" s="149" t="s">
        <v>313</v>
      </c>
      <c r="B34" s="433" t="s">
        <v>370</v>
      </c>
      <c r="C34" s="433"/>
      <c r="D34" s="433"/>
      <c r="E34" s="433"/>
      <c r="F34" s="433"/>
      <c r="G34" s="122">
        <f>80.5*Скидка!B18*(1+Скидка!B21/100)*(1+Лист1!B180/100)*(1+Лист1!C180/100)*(1+Лист1!D180/100)*(1+Лист1!E180/100)</f>
        <v>94.99</v>
      </c>
      <c r="H34" s="76">
        <f>G34*(1-(Скидка!G3/100))</f>
        <v>94.99</v>
      </c>
    </row>
    <row r="35" spans="1:8" ht="36" customHeight="1" x14ac:dyDescent="0.35">
      <c r="A35" s="149" t="s">
        <v>315</v>
      </c>
      <c r="B35" s="242" t="s">
        <v>371</v>
      </c>
      <c r="C35" s="242"/>
      <c r="D35" s="242"/>
      <c r="E35" s="242"/>
      <c r="F35" s="242"/>
      <c r="G35" s="122">
        <f>80.5*Скидка!B18*(1+Скидка!B21/100)*(1+Лист1!B181/100)*(1+Лист1!C181/100)*(1+Лист1!D181/100)*(1+Лист1!E181/100)</f>
        <v>94.99</v>
      </c>
      <c r="H35" s="76">
        <f>G35*(1-(Скидка!G3/100))</f>
        <v>94.99</v>
      </c>
    </row>
    <row r="36" spans="1:8" ht="29.5" customHeight="1" x14ac:dyDescent="0.35">
      <c r="A36" s="149" t="s">
        <v>316</v>
      </c>
      <c r="B36" s="433" t="s">
        <v>372</v>
      </c>
      <c r="C36" s="433"/>
      <c r="D36" s="433"/>
      <c r="E36" s="433"/>
      <c r="F36" s="433"/>
      <c r="G36" s="122">
        <f>110*Скидка!B18*(1+Скидка!B21/100)*(1+Лист1!B182/100)*(1+Лист1!C182/100)*(1+Лист1!D182/100)*(1+Лист1!E182/100)</f>
        <v>129.79999999999998</v>
      </c>
      <c r="H36" s="76">
        <f>G36*(1-(Скидка!G3/100))</f>
        <v>129.79999999999998</v>
      </c>
    </row>
    <row r="37" spans="1:8" ht="34" customHeight="1" x14ac:dyDescent="0.35">
      <c r="A37" s="149" t="s">
        <v>317</v>
      </c>
      <c r="B37" s="242" t="s">
        <v>373</v>
      </c>
      <c r="C37" s="242"/>
      <c r="D37" s="242"/>
      <c r="E37" s="242"/>
      <c r="F37" s="242"/>
      <c r="G37" s="122">
        <f>110*Скидка!B18*(1+Скидка!B21/100)*(1+Лист1!B183/100)*(1+Лист1!C183/100)*(1+Лист1!D183/100)*(1+Лист1!E183/100)</f>
        <v>129.79999999999998</v>
      </c>
      <c r="H37" s="76">
        <f>G37*(1-(Скидка!G3/100))</f>
        <v>129.79999999999998</v>
      </c>
    </row>
    <row r="38" spans="1:8" ht="28.5" customHeight="1" thickBot="1" x14ac:dyDescent="0.4">
      <c r="A38" s="156" t="s">
        <v>318</v>
      </c>
      <c r="B38" s="434" t="s">
        <v>374</v>
      </c>
      <c r="C38" s="434"/>
      <c r="D38" s="434"/>
      <c r="E38" s="434"/>
      <c r="F38" s="434"/>
      <c r="G38" s="157">
        <f>110*Скидка!B18*(1+Скидка!B21/100)*(1+Лист1!B184/100)*(1+Лист1!C184/100)*(1+Лист1!D184/100)*(1+Лист1!E184/100)</f>
        <v>129.79999999999998</v>
      </c>
      <c r="H38" s="158">
        <f>G38*(1-(Скидка!G3/100))</f>
        <v>129.79999999999998</v>
      </c>
    </row>
    <row r="39" spans="1:8" ht="28.4" customHeight="1" thickBot="1" x14ac:dyDescent="0.4">
      <c r="A39" s="270" t="s">
        <v>350</v>
      </c>
      <c r="B39" s="271"/>
      <c r="C39" s="271"/>
      <c r="D39" s="271"/>
      <c r="E39" s="271"/>
      <c r="F39" s="271"/>
      <c r="G39" s="271"/>
      <c r="H39" s="272"/>
    </row>
    <row r="40" spans="1:8" ht="26" x14ac:dyDescent="0.35">
      <c r="A40" s="146" t="s">
        <v>346</v>
      </c>
      <c r="B40" s="432" t="s">
        <v>348</v>
      </c>
      <c r="C40" s="432"/>
      <c r="D40" s="432"/>
      <c r="E40" s="432"/>
      <c r="F40" s="432"/>
      <c r="G40" s="147">
        <f>2322*Скидка!B18*(1+Скидка!B21/100)*(1+Лист1!B185/100)*(1+Лист1!C185/100)*(1+Лист1!D185/100)*(1+Лист1!E185/100)</f>
        <v>2739.96</v>
      </c>
      <c r="H40" s="148">
        <f>G40*(1-(Скидка!G3/100))</f>
        <v>2739.96</v>
      </c>
    </row>
    <row r="41" spans="1:8" ht="28.4" customHeight="1" x14ac:dyDescent="0.35">
      <c r="A41" s="149" t="s">
        <v>347</v>
      </c>
      <c r="B41" s="242" t="s">
        <v>349</v>
      </c>
      <c r="C41" s="242"/>
      <c r="D41" s="242"/>
      <c r="E41" s="242"/>
      <c r="F41" s="242"/>
      <c r="G41" s="122">
        <f>169.49*Скидка!B18*(1+Скидка!B21/100)*(1+Лист1!B186/100)*(1+Лист1!C186/100)*(1+Лист1!D186/100)*(1+Лист1!E186/100)</f>
        <v>199.9982</v>
      </c>
      <c r="H41" s="76">
        <f>G41*(1-(Скидка!G3/100))</f>
        <v>199.9982</v>
      </c>
    </row>
    <row r="42" spans="1:8" ht="28" customHeight="1" x14ac:dyDescent="0.35"/>
    <row r="43" spans="1:8" ht="22.5" customHeight="1" x14ac:dyDescent="0.35"/>
  </sheetData>
  <sheetProtection formatCells="0" formatColumns="0" formatRows="0" insertColumns="0" insertRows="0" insertHyperlinks="0" deleteColumns="0" deleteRows="0" sort="0" autoFilter="0" pivotTables="0"/>
  <mergeCells count="39">
    <mergeCell ref="A20:H20"/>
    <mergeCell ref="B13:F13"/>
    <mergeCell ref="B16:F16"/>
    <mergeCell ref="B18:F18"/>
    <mergeCell ref="B19:F19"/>
    <mergeCell ref="A17:H17"/>
    <mergeCell ref="G9:G10"/>
    <mergeCell ref="A11:H11"/>
    <mergeCell ref="B12:F12"/>
    <mergeCell ref="B15:F15"/>
    <mergeCell ref="A14:H14"/>
    <mergeCell ref="A9:A10"/>
    <mergeCell ref="B9:F10"/>
    <mergeCell ref="D1:H1"/>
    <mergeCell ref="D2:H2"/>
    <mergeCell ref="D3:H3"/>
    <mergeCell ref="B5:E5"/>
    <mergeCell ref="A8:G8"/>
    <mergeCell ref="B27:F27"/>
    <mergeCell ref="B21:F21"/>
    <mergeCell ref="B22:F22"/>
    <mergeCell ref="B24:F24"/>
    <mergeCell ref="B23:F23"/>
    <mergeCell ref="B28:F28"/>
    <mergeCell ref="A39:H39"/>
    <mergeCell ref="B40:F40"/>
    <mergeCell ref="B41:F41"/>
    <mergeCell ref="B25:F25"/>
    <mergeCell ref="B26:F26"/>
    <mergeCell ref="B36:F36"/>
    <mergeCell ref="B37:F37"/>
    <mergeCell ref="B38:F38"/>
    <mergeCell ref="A32:H32"/>
    <mergeCell ref="B33:F33"/>
    <mergeCell ref="B34:F34"/>
    <mergeCell ref="B35:F35"/>
    <mergeCell ref="A29:H29"/>
    <mergeCell ref="B30:F30"/>
    <mergeCell ref="B31:F31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34"/>
  <sheetViews>
    <sheetView topLeftCell="A196" workbookViewId="0">
      <selection activeCell="M219" sqref="M219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0.7265625" customWidth="1"/>
    <col min="9" max="9" width="3.453125" customWidth="1"/>
  </cols>
  <sheetData>
    <row r="1" spans="1:9" ht="21" customHeight="1" x14ac:dyDescent="0.65">
      <c r="D1" s="313" t="s">
        <v>0</v>
      </c>
      <c r="E1" s="313"/>
      <c r="F1" s="313"/>
      <c r="G1" s="313"/>
      <c r="H1" s="313"/>
      <c r="I1" s="3"/>
    </row>
    <row r="2" spans="1:9" ht="15.5" x14ac:dyDescent="0.35">
      <c r="D2" s="236" t="s">
        <v>1</v>
      </c>
      <c r="E2" s="236"/>
      <c r="F2" s="236"/>
      <c r="G2" s="236"/>
      <c r="H2" s="236"/>
      <c r="I2" s="4"/>
    </row>
    <row r="3" spans="1:9" x14ac:dyDescent="0.35">
      <c r="D3" s="237" t="s">
        <v>2</v>
      </c>
      <c r="E3" s="237"/>
      <c r="F3" s="237"/>
      <c r="G3" s="237"/>
      <c r="H3" s="237"/>
      <c r="I3" s="1"/>
    </row>
    <row r="4" spans="1:9" ht="6.75" customHeight="1" x14ac:dyDescent="0.35"/>
    <row r="5" spans="1:9" ht="15.5" x14ac:dyDescent="0.35">
      <c r="A5" s="46" t="s">
        <v>276</v>
      </c>
      <c r="B5" s="243" t="s">
        <v>217</v>
      </c>
      <c r="C5" s="243"/>
      <c r="D5" s="243"/>
      <c r="E5" s="243"/>
      <c r="F5" s="47">
        <f>Скидка!B15</f>
        <v>43159</v>
      </c>
      <c r="G5" s="95"/>
      <c r="H5" s="96"/>
      <c r="I5" s="9"/>
    </row>
    <row r="6" spans="1:9" ht="3.75" customHeight="1" x14ac:dyDescent="0.35">
      <c r="A6" s="50"/>
      <c r="B6" s="50"/>
      <c r="C6" s="50"/>
      <c r="D6" s="50"/>
      <c r="E6" s="50"/>
      <c r="F6" s="50"/>
      <c r="G6" s="50"/>
      <c r="H6" s="50"/>
    </row>
    <row r="7" spans="1:9" ht="2.15" customHeight="1" thickBot="1" x14ac:dyDescent="0.4">
      <c r="A7" s="97"/>
      <c r="B7" s="97"/>
      <c r="C7" s="97"/>
      <c r="D7" s="97"/>
      <c r="E7" s="97"/>
      <c r="F7" s="97"/>
      <c r="G7" s="97"/>
      <c r="H7" s="97"/>
      <c r="I7" s="5"/>
    </row>
    <row r="8" spans="1:9" ht="29.5" customHeight="1" thickBot="1" x14ac:dyDescent="0.4">
      <c r="A8" s="358" t="s">
        <v>512</v>
      </c>
      <c r="B8" s="358"/>
      <c r="C8" s="358"/>
      <c r="D8" s="358"/>
      <c r="E8" s="358"/>
      <c r="F8" s="358"/>
      <c r="G8" s="358"/>
      <c r="H8" s="193" t="s">
        <v>513</v>
      </c>
      <c r="I8" s="6"/>
    </row>
    <row r="9" spans="1:9" ht="27" customHeight="1" x14ac:dyDescent="0.35">
      <c r="A9" s="459" t="s">
        <v>515</v>
      </c>
      <c r="B9" s="460"/>
      <c r="C9" s="460"/>
      <c r="D9" s="460"/>
      <c r="E9" s="460"/>
      <c r="F9" s="461"/>
      <c r="G9" s="457" t="s">
        <v>214</v>
      </c>
      <c r="H9" s="191" t="s">
        <v>215</v>
      </c>
    </row>
    <row r="10" spans="1:9" ht="26.25" customHeight="1" thickBot="1" x14ac:dyDescent="0.4">
      <c r="A10" s="462"/>
      <c r="B10" s="463"/>
      <c r="C10" s="463"/>
      <c r="D10" s="463"/>
      <c r="E10" s="463"/>
      <c r="F10" s="464"/>
      <c r="G10" s="458"/>
      <c r="H10" s="192">
        <f>Скидка!G3</f>
        <v>0</v>
      </c>
    </row>
    <row r="11" spans="1:9" ht="16" customHeight="1" x14ac:dyDescent="0.35">
      <c r="A11" s="467" t="s">
        <v>516</v>
      </c>
      <c r="B11" s="468"/>
      <c r="C11" s="468"/>
      <c r="D11" s="468"/>
      <c r="E11" s="468"/>
      <c r="F11" s="468"/>
      <c r="G11" s="468"/>
      <c r="H11" s="469"/>
    </row>
    <row r="12" spans="1:9" ht="15" customHeight="1" x14ac:dyDescent="0.35">
      <c r="A12" s="502"/>
      <c r="B12" s="503"/>
      <c r="C12" s="465" t="s">
        <v>517</v>
      </c>
      <c r="D12" s="465"/>
      <c r="E12" s="465"/>
      <c r="F12" s="465"/>
      <c r="G12" s="479">
        <f>889.8*Скидка!B18*(1+Скидка!B21/100)*(1+Лист1!B165/100)*(1+Лист1!C165/100)*(1+Лист1!D165/100)*(1+Лист1!E165/100)</f>
        <v>1049.9639999999999</v>
      </c>
      <c r="H12" s="482">
        <f>G12*((1-(Скидка!G3/100))-(Скидка!B9/100))</f>
        <v>1049.9639999999999</v>
      </c>
    </row>
    <row r="13" spans="1:9" ht="15" customHeight="1" x14ac:dyDescent="0.35">
      <c r="A13" s="504"/>
      <c r="B13" s="505"/>
      <c r="C13" s="466" t="s">
        <v>518</v>
      </c>
      <c r="D13" s="466"/>
      <c r="E13" s="466"/>
      <c r="F13" s="194" t="s">
        <v>519</v>
      </c>
      <c r="G13" s="480"/>
      <c r="H13" s="483"/>
    </row>
    <row r="14" spans="1:9" ht="15" customHeight="1" x14ac:dyDescent="0.35">
      <c r="A14" s="504"/>
      <c r="B14" s="505"/>
      <c r="C14" s="466" t="s">
        <v>520</v>
      </c>
      <c r="D14" s="466"/>
      <c r="E14" s="466"/>
      <c r="F14" s="194" t="s">
        <v>521</v>
      </c>
      <c r="G14" s="480"/>
      <c r="H14" s="483"/>
    </row>
    <row r="15" spans="1:9" ht="15" customHeight="1" x14ac:dyDescent="0.35">
      <c r="A15" s="504"/>
      <c r="B15" s="505"/>
      <c r="C15" s="466" t="s">
        <v>522</v>
      </c>
      <c r="D15" s="466"/>
      <c r="E15" s="466"/>
      <c r="F15" s="194" t="s">
        <v>523</v>
      </c>
      <c r="G15" s="480"/>
      <c r="H15" s="483"/>
    </row>
    <row r="16" spans="1:9" ht="15" customHeight="1" x14ac:dyDescent="0.35">
      <c r="A16" s="504"/>
      <c r="B16" s="505"/>
      <c r="C16" s="470" t="s">
        <v>524</v>
      </c>
      <c r="D16" s="471"/>
      <c r="E16" s="471"/>
      <c r="F16" s="472"/>
      <c r="G16" s="480"/>
      <c r="H16" s="483"/>
    </row>
    <row r="17" spans="1:8" ht="15" customHeight="1" x14ac:dyDescent="0.35">
      <c r="A17" s="504"/>
      <c r="B17" s="505"/>
      <c r="C17" s="466" t="s">
        <v>525</v>
      </c>
      <c r="D17" s="466"/>
      <c r="E17" s="466"/>
      <c r="F17" s="194" t="s">
        <v>526</v>
      </c>
      <c r="G17" s="480"/>
      <c r="H17" s="483"/>
    </row>
    <row r="18" spans="1:8" ht="15" customHeight="1" x14ac:dyDescent="0.35">
      <c r="A18" s="504"/>
      <c r="B18" s="505"/>
      <c r="C18" s="478" t="s">
        <v>527</v>
      </c>
      <c r="D18" s="478"/>
      <c r="E18" s="478"/>
      <c r="F18" s="194" t="s">
        <v>526</v>
      </c>
      <c r="G18" s="480"/>
      <c r="H18" s="483"/>
    </row>
    <row r="19" spans="1:8" ht="15" customHeight="1" x14ac:dyDescent="0.35">
      <c r="A19" s="504"/>
      <c r="B19" s="505"/>
      <c r="C19" s="466" t="s">
        <v>528</v>
      </c>
      <c r="D19" s="466"/>
      <c r="E19" s="466"/>
      <c r="F19" s="194" t="s">
        <v>529</v>
      </c>
      <c r="G19" s="480"/>
      <c r="H19" s="483"/>
    </row>
    <row r="20" spans="1:8" ht="15" customHeight="1" x14ac:dyDescent="0.35">
      <c r="A20" s="506"/>
      <c r="B20" s="507"/>
      <c r="C20" s="466" t="s">
        <v>530</v>
      </c>
      <c r="D20" s="466"/>
      <c r="E20" s="466"/>
      <c r="F20" s="194" t="s">
        <v>529</v>
      </c>
      <c r="G20" s="481"/>
      <c r="H20" s="484"/>
    </row>
    <row r="21" spans="1:8" ht="15" customHeight="1" thickBot="1" x14ac:dyDescent="0.4">
      <c r="A21" s="409" t="s">
        <v>539</v>
      </c>
      <c r="B21" s="410"/>
      <c r="C21" s="410"/>
      <c r="D21" s="410"/>
      <c r="E21" s="410"/>
      <c r="F21" s="410"/>
      <c r="G21" s="410"/>
      <c r="H21" s="411"/>
    </row>
    <row r="22" spans="1:8" ht="15" customHeight="1" x14ac:dyDescent="0.35">
      <c r="A22" s="474"/>
      <c r="B22" s="475"/>
      <c r="C22" s="465" t="s">
        <v>517</v>
      </c>
      <c r="D22" s="465"/>
      <c r="E22" s="465"/>
      <c r="F22" s="465"/>
      <c r="G22" s="485"/>
      <c r="H22" s="474"/>
    </row>
    <row r="23" spans="1:8" ht="15" customHeight="1" x14ac:dyDescent="0.35">
      <c r="A23" s="476"/>
      <c r="B23" s="477"/>
      <c r="C23" s="466" t="s">
        <v>518</v>
      </c>
      <c r="D23" s="466"/>
      <c r="E23" s="466"/>
      <c r="F23" s="194" t="s">
        <v>531</v>
      </c>
      <c r="G23" s="486"/>
      <c r="H23" s="476"/>
    </row>
    <row r="24" spans="1:8" ht="15" customHeight="1" x14ac:dyDescent="0.35">
      <c r="A24" s="476"/>
      <c r="B24" s="477"/>
      <c r="C24" s="466" t="s">
        <v>520</v>
      </c>
      <c r="D24" s="466"/>
      <c r="E24" s="466"/>
      <c r="F24" s="194" t="s">
        <v>521</v>
      </c>
      <c r="G24" s="486"/>
      <c r="H24" s="476"/>
    </row>
    <row r="25" spans="1:8" ht="15" customHeight="1" x14ac:dyDescent="0.35">
      <c r="A25" s="476"/>
      <c r="B25" s="477"/>
      <c r="C25" s="466" t="s">
        <v>522</v>
      </c>
      <c r="D25" s="466"/>
      <c r="E25" s="466"/>
      <c r="F25" s="194" t="s">
        <v>532</v>
      </c>
      <c r="G25" s="486"/>
      <c r="H25" s="476"/>
    </row>
    <row r="26" spans="1:8" ht="15" customHeight="1" x14ac:dyDescent="0.35">
      <c r="A26" s="476"/>
      <c r="B26" s="477"/>
      <c r="C26" s="470" t="s">
        <v>524</v>
      </c>
      <c r="D26" s="471"/>
      <c r="E26" s="471"/>
      <c r="F26" s="472"/>
      <c r="G26" s="486"/>
      <c r="H26" s="476"/>
    </row>
    <row r="27" spans="1:8" ht="15" customHeight="1" x14ac:dyDescent="0.35">
      <c r="A27" s="476"/>
      <c r="B27" s="477"/>
      <c r="C27" s="466" t="s">
        <v>525</v>
      </c>
      <c r="D27" s="466"/>
      <c r="E27" s="466"/>
      <c r="F27" s="194" t="s">
        <v>533</v>
      </c>
      <c r="G27" s="486"/>
      <c r="H27" s="476"/>
    </row>
    <row r="28" spans="1:8" ht="15" customHeight="1" x14ac:dyDescent="0.35">
      <c r="A28" s="476"/>
      <c r="B28" s="477"/>
      <c r="C28" s="478" t="s">
        <v>527</v>
      </c>
      <c r="D28" s="478"/>
      <c r="E28" s="478"/>
      <c r="F28" s="194" t="s">
        <v>534</v>
      </c>
      <c r="G28" s="486"/>
      <c r="H28" s="476"/>
    </row>
    <row r="29" spans="1:8" ht="15" customHeight="1" x14ac:dyDescent="0.35">
      <c r="A29" s="476"/>
      <c r="B29" s="477"/>
      <c r="C29" s="466" t="s">
        <v>528</v>
      </c>
      <c r="D29" s="466"/>
      <c r="E29" s="466"/>
      <c r="F29" s="194" t="s">
        <v>529</v>
      </c>
      <c r="G29" s="486"/>
      <c r="H29" s="476"/>
    </row>
    <row r="30" spans="1:8" ht="15" customHeight="1" x14ac:dyDescent="0.35">
      <c r="A30" s="476"/>
      <c r="B30" s="477"/>
      <c r="C30" s="466" t="s">
        <v>530</v>
      </c>
      <c r="D30" s="466"/>
      <c r="E30" s="466"/>
      <c r="F30" s="194" t="s">
        <v>529</v>
      </c>
      <c r="G30" s="486"/>
      <c r="H30" s="476"/>
    </row>
    <row r="31" spans="1:8" ht="15" customHeight="1" thickBot="1" x14ac:dyDescent="0.4">
      <c r="A31" s="409" t="s">
        <v>540</v>
      </c>
      <c r="B31" s="410"/>
      <c r="C31" s="410"/>
      <c r="D31" s="410"/>
      <c r="E31" s="410"/>
      <c r="F31" s="410"/>
      <c r="G31" s="410"/>
      <c r="H31" s="411"/>
    </row>
    <row r="32" spans="1:8" ht="15" customHeight="1" x14ac:dyDescent="0.35">
      <c r="A32" s="474"/>
      <c r="B32" s="475"/>
      <c r="C32" s="465" t="s">
        <v>517</v>
      </c>
      <c r="D32" s="465"/>
      <c r="E32" s="465"/>
      <c r="F32" s="465"/>
      <c r="G32" s="485"/>
      <c r="H32" s="474"/>
    </row>
    <row r="33" spans="1:8" ht="15" customHeight="1" x14ac:dyDescent="0.35">
      <c r="A33" s="476"/>
      <c r="B33" s="477"/>
      <c r="C33" s="466" t="s">
        <v>518</v>
      </c>
      <c r="D33" s="466"/>
      <c r="E33" s="466"/>
      <c r="F33" s="194" t="s">
        <v>535</v>
      </c>
      <c r="G33" s="486"/>
      <c r="H33" s="476"/>
    </row>
    <row r="34" spans="1:8" ht="15" customHeight="1" x14ac:dyDescent="0.35">
      <c r="A34" s="476"/>
      <c r="B34" s="477"/>
      <c r="C34" s="466" t="s">
        <v>520</v>
      </c>
      <c r="D34" s="466"/>
      <c r="E34" s="466"/>
      <c r="F34" s="194" t="s">
        <v>521</v>
      </c>
      <c r="G34" s="486"/>
      <c r="H34" s="476"/>
    </row>
    <row r="35" spans="1:8" ht="15" customHeight="1" x14ac:dyDescent="0.35">
      <c r="A35" s="476"/>
      <c r="B35" s="477"/>
      <c r="C35" s="466" t="s">
        <v>522</v>
      </c>
      <c r="D35" s="466"/>
      <c r="E35" s="466"/>
      <c r="F35" s="194" t="s">
        <v>536</v>
      </c>
      <c r="G35" s="486"/>
      <c r="H35" s="476"/>
    </row>
    <row r="36" spans="1:8" ht="15" customHeight="1" x14ac:dyDescent="0.35">
      <c r="A36" s="476"/>
      <c r="B36" s="477"/>
      <c r="C36" s="465" t="s">
        <v>524</v>
      </c>
      <c r="D36" s="465"/>
      <c r="E36" s="465"/>
      <c r="F36" s="465"/>
      <c r="G36" s="486"/>
      <c r="H36" s="476"/>
    </row>
    <row r="37" spans="1:8" ht="15" customHeight="1" x14ac:dyDescent="0.35">
      <c r="A37" s="476"/>
      <c r="B37" s="477"/>
      <c r="C37" s="466" t="s">
        <v>525</v>
      </c>
      <c r="D37" s="466"/>
      <c r="E37" s="466"/>
      <c r="F37" s="194" t="s">
        <v>537</v>
      </c>
      <c r="G37" s="486"/>
      <c r="H37" s="476"/>
    </row>
    <row r="38" spans="1:8" ht="15" customHeight="1" x14ac:dyDescent="0.35">
      <c r="A38" s="476"/>
      <c r="B38" s="477"/>
      <c r="C38" s="478" t="s">
        <v>527</v>
      </c>
      <c r="D38" s="478"/>
      <c r="E38" s="478"/>
      <c r="F38" s="194" t="s">
        <v>537</v>
      </c>
      <c r="G38" s="486"/>
      <c r="H38" s="476"/>
    </row>
    <row r="39" spans="1:8" ht="15" customHeight="1" x14ac:dyDescent="0.35">
      <c r="A39" s="476"/>
      <c r="B39" s="477"/>
      <c r="C39" s="466" t="s">
        <v>528</v>
      </c>
      <c r="D39" s="466"/>
      <c r="E39" s="466"/>
      <c r="F39" s="194" t="s">
        <v>529</v>
      </c>
      <c r="G39" s="486"/>
      <c r="H39" s="476"/>
    </row>
    <row r="40" spans="1:8" ht="15" customHeight="1" x14ac:dyDescent="0.35">
      <c r="A40" s="476"/>
      <c r="B40" s="477"/>
      <c r="C40" s="473" t="s">
        <v>530</v>
      </c>
      <c r="D40" s="473"/>
      <c r="E40" s="473"/>
      <c r="F40" s="196" t="s">
        <v>529</v>
      </c>
      <c r="G40" s="486"/>
      <c r="H40" s="476"/>
    </row>
    <row r="41" spans="1:8" ht="15" customHeight="1" x14ac:dyDescent="0.35">
      <c r="A41" s="487" t="s">
        <v>538</v>
      </c>
      <c r="B41" s="488"/>
      <c r="C41" s="488"/>
      <c r="D41" s="488"/>
      <c r="E41" s="488"/>
      <c r="F41" s="488"/>
      <c r="G41" s="488"/>
      <c r="H41" s="489"/>
    </row>
    <row r="42" spans="1:8" ht="15" customHeight="1" x14ac:dyDescent="0.35">
      <c r="A42" s="491"/>
      <c r="B42" s="477"/>
      <c r="C42" s="490" t="s">
        <v>517</v>
      </c>
      <c r="D42" s="490"/>
      <c r="E42" s="490"/>
      <c r="F42" s="490"/>
      <c r="G42" s="486"/>
      <c r="H42" s="491"/>
    </row>
    <row r="43" spans="1:8" ht="15" customHeight="1" x14ac:dyDescent="0.35">
      <c r="A43" s="476"/>
      <c r="B43" s="477"/>
      <c r="C43" s="466" t="s">
        <v>518</v>
      </c>
      <c r="D43" s="466"/>
      <c r="E43" s="466"/>
      <c r="F43" s="194" t="s">
        <v>519</v>
      </c>
      <c r="G43" s="486"/>
      <c r="H43" s="476"/>
    </row>
    <row r="44" spans="1:8" ht="15" customHeight="1" x14ac:dyDescent="0.35">
      <c r="A44" s="476"/>
      <c r="B44" s="477"/>
      <c r="C44" s="466" t="s">
        <v>520</v>
      </c>
      <c r="D44" s="466"/>
      <c r="E44" s="466"/>
      <c r="F44" s="194" t="s">
        <v>521</v>
      </c>
      <c r="G44" s="486"/>
      <c r="H44" s="476"/>
    </row>
    <row r="45" spans="1:8" x14ac:dyDescent="0.35">
      <c r="A45" s="476"/>
      <c r="B45" s="477"/>
      <c r="C45" s="466" t="s">
        <v>522</v>
      </c>
      <c r="D45" s="466"/>
      <c r="E45" s="466"/>
      <c r="F45" s="194" t="s">
        <v>541</v>
      </c>
      <c r="G45" s="486"/>
      <c r="H45" s="476"/>
    </row>
    <row r="46" spans="1:8" x14ac:dyDescent="0.35">
      <c r="A46" s="476"/>
      <c r="B46" s="477"/>
      <c r="C46" s="466" t="s">
        <v>542</v>
      </c>
      <c r="D46" s="466"/>
      <c r="E46" s="466"/>
      <c r="F46" s="195">
        <v>3</v>
      </c>
      <c r="G46" s="486"/>
      <c r="H46" s="476"/>
    </row>
    <row r="47" spans="1:8" x14ac:dyDescent="0.35">
      <c r="A47" s="476"/>
      <c r="B47" s="477"/>
      <c r="C47" s="466" t="s">
        <v>543</v>
      </c>
      <c r="D47" s="466"/>
      <c r="E47" s="466"/>
      <c r="F47" s="194" t="s">
        <v>544</v>
      </c>
      <c r="G47" s="486"/>
      <c r="H47" s="476"/>
    </row>
    <row r="48" spans="1:8" x14ac:dyDescent="0.35">
      <c r="A48" s="476"/>
      <c r="B48" s="477"/>
      <c r="C48" s="492" t="s">
        <v>524</v>
      </c>
      <c r="D48" s="492"/>
      <c r="E48" s="492"/>
      <c r="F48" s="492"/>
      <c r="G48" s="486"/>
      <c r="H48" s="476"/>
    </row>
    <row r="49" spans="1:8" x14ac:dyDescent="0.35">
      <c r="A49" s="476"/>
      <c r="B49" s="477"/>
      <c r="C49" s="466" t="s">
        <v>525</v>
      </c>
      <c r="D49" s="466"/>
      <c r="E49" s="466"/>
      <c r="F49" s="194" t="s">
        <v>533</v>
      </c>
      <c r="G49" s="486"/>
      <c r="H49" s="476"/>
    </row>
    <row r="50" spans="1:8" x14ac:dyDescent="0.35">
      <c r="A50" s="476"/>
      <c r="B50" s="477"/>
      <c r="C50" s="473" t="s">
        <v>527</v>
      </c>
      <c r="D50" s="473"/>
      <c r="E50" s="473"/>
      <c r="F50" s="196" t="s">
        <v>526</v>
      </c>
      <c r="G50" s="486"/>
      <c r="H50" s="476"/>
    </row>
    <row r="51" spans="1:8" x14ac:dyDescent="0.35">
      <c r="A51" s="487" t="s">
        <v>545</v>
      </c>
      <c r="B51" s="488"/>
      <c r="C51" s="488"/>
      <c r="D51" s="488"/>
      <c r="E51" s="488"/>
      <c r="F51" s="488"/>
      <c r="G51" s="488"/>
      <c r="H51" s="489"/>
    </row>
    <row r="52" spans="1:8" x14ac:dyDescent="0.35">
      <c r="A52" s="493"/>
      <c r="B52" s="494"/>
      <c r="C52" s="465" t="s">
        <v>517</v>
      </c>
      <c r="D52" s="465"/>
      <c r="E52" s="465"/>
      <c r="F52" s="465"/>
      <c r="G52" s="495"/>
      <c r="H52" s="493"/>
    </row>
    <row r="53" spans="1:8" x14ac:dyDescent="0.35">
      <c r="A53" s="476"/>
      <c r="B53" s="477"/>
      <c r="C53" s="466" t="s">
        <v>518</v>
      </c>
      <c r="D53" s="466"/>
      <c r="E53" s="466"/>
      <c r="F53" s="194" t="s">
        <v>531</v>
      </c>
      <c r="G53" s="486"/>
      <c r="H53" s="476"/>
    </row>
    <row r="54" spans="1:8" x14ac:dyDescent="0.35">
      <c r="A54" s="476"/>
      <c r="B54" s="477"/>
      <c r="C54" s="466" t="s">
        <v>520</v>
      </c>
      <c r="D54" s="466"/>
      <c r="E54" s="466"/>
      <c r="F54" s="194" t="s">
        <v>521</v>
      </c>
      <c r="G54" s="486"/>
      <c r="H54" s="476"/>
    </row>
    <row r="55" spans="1:8" x14ac:dyDescent="0.35">
      <c r="A55" s="476"/>
      <c r="B55" s="477"/>
      <c r="C55" s="466" t="s">
        <v>522</v>
      </c>
      <c r="D55" s="466"/>
      <c r="E55" s="466"/>
      <c r="F55" s="194" t="s">
        <v>546</v>
      </c>
      <c r="G55" s="486"/>
      <c r="H55" s="476"/>
    </row>
    <row r="56" spans="1:8" x14ac:dyDescent="0.35">
      <c r="A56" s="476"/>
      <c r="B56" s="477"/>
      <c r="C56" s="466" t="s">
        <v>542</v>
      </c>
      <c r="D56" s="466"/>
      <c r="E56" s="466"/>
      <c r="F56" s="195">
        <v>3</v>
      </c>
      <c r="G56" s="486"/>
      <c r="H56" s="476"/>
    </row>
    <row r="57" spans="1:8" x14ac:dyDescent="0.35">
      <c r="A57" s="476"/>
      <c r="B57" s="477"/>
      <c r="C57" s="466" t="s">
        <v>543</v>
      </c>
      <c r="D57" s="466"/>
      <c r="E57" s="466"/>
      <c r="F57" s="194" t="s">
        <v>544</v>
      </c>
      <c r="G57" s="486"/>
      <c r="H57" s="476"/>
    </row>
    <row r="58" spans="1:8" x14ac:dyDescent="0.35">
      <c r="A58" s="476"/>
      <c r="B58" s="477"/>
      <c r="C58" s="496" t="s">
        <v>524</v>
      </c>
      <c r="D58" s="497"/>
      <c r="E58" s="497"/>
      <c r="F58" s="498"/>
      <c r="G58" s="486"/>
      <c r="H58" s="476"/>
    </row>
    <row r="59" spans="1:8" x14ac:dyDescent="0.35">
      <c r="A59" s="476"/>
      <c r="B59" s="477"/>
      <c r="C59" s="466" t="s">
        <v>525</v>
      </c>
      <c r="D59" s="466"/>
      <c r="E59" s="466"/>
      <c r="F59" s="194" t="s">
        <v>533</v>
      </c>
      <c r="G59" s="486"/>
      <c r="H59" s="476"/>
    </row>
    <row r="60" spans="1:8" x14ac:dyDescent="0.35">
      <c r="A60" s="476"/>
      <c r="B60" s="477"/>
      <c r="C60" s="466" t="s">
        <v>527</v>
      </c>
      <c r="D60" s="466"/>
      <c r="E60" s="466"/>
      <c r="F60" s="194" t="s">
        <v>526</v>
      </c>
      <c r="G60" s="486"/>
      <c r="H60" s="476"/>
    </row>
    <row r="61" spans="1:8" x14ac:dyDescent="0.35">
      <c r="A61" s="476"/>
      <c r="B61" s="477"/>
      <c r="C61" s="499" t="s">
        <v>528</v>
      </c>
      <c r="D61" s="500"/>
      <c r="E61" s="501"/>
      <c r="F61" s="194" t="s">
        <v>529</v>
      </c>
      <c r="G61" s="486"/>
      <c r="H61" s="476"/>
    </row>
    <row r="62" spans="1:8" x14ac:dyDescent="0.35">
      <c r="A62" s="476"/>
      <c r="B62" s="477"/>
      <c r="C62" s="499" t="s">
        <v>530</v>
      </c>
      <c r="D62" s="500"/>
      <c r="E62" s="501"/>
      <c r="F62" s="194" t="s">
        <v>529</v>
      </c>
      <c r="G62" s="486"/>
      <c r="H62" s="476"/>
    </row>
    <row r="63" spans="1:8" x14ac:dyDescent="0.35">
      <c r="A63" s="476"/>
      <c r="B63" s="477"/>
      <c r="C63" s="499" t="s">
        <v>547</v>
      </c>
      <c r="D63" s="500"/>
      <c r="E63" s="501"/>
      <c r="F63" s="194" t="s">
        <v>529</v>
      </c>
      <c r="G63" s="486"/>
      <c r="H63" s="476"/>
    </row>
    <row r="64" spans="1:8" x14ac:dyDescent="0.35">
      <c r="A64" s="487" t="s">
        <v>548</v>
      </c>
      <c r="B64" s="488"/>
      <c r="C64" s="488"/>
      <c r="D64" s="488"/>
      <c r="E64" s="488"/>
      <c r="F64" s="488"/>
      <c r="G64" s="488"/>
      <c r="H64" s="489"/>
    </row>
    <row r="65" spans="1:8" x14ac:dyDescent="0.35">
      <c r="A65" s="493"/>
      <c r="B65" s="494"/>
      <c r="C65" s="465" t="s">
        <v>517</v>
      </c>
      <c r="D65" s="465"/>
      <c r="E65" s="465"/>
      <c r="F65" s="465"/>
      <c r="G65" s="495"/>
      <c r="H65" s="493"/>
    </row>
    <row r="66" spans="1:8" x14ac:dyDescent="0.35">
      <c r="A66" s="476"/>
      <c r="B66" s="477"/>
      <c r="C66" s="466" t="s">
        <v>518</v>
      </c>
      <c r="D66" s="466"/>
      <c r="E66" s="466"/>
      <c r="F66" s="194" t="s">
        <v>531</v>
      </c>
      <c r="G66" s="486"/>
      <c r="H66" s="476"/>
    </row>
    <row r="67" spans="1:8" x14ac:dyDescent="0.35">
      <c r="A67" s="476"/>
      <c r="B67" s="477"/>
      <c r="C67" s="466" t="s">
        <v>520</v>
      </c>
      <c r="D67" s="466"/>
      <c r="E67" s="466"/>
      <c r="F67" s="194" t="s">
        <v>521</v>
      </c>
      <c r="G67" s="486"/>
      <c r="H67" s="476"/>
    </row>
    <row r="68" spans="1:8" x14ac:dyDescent="0.35">
      <c r="A68" s="476"/>
      <c r="B68" s="477"/>
      <c r="C68" s="466" t="s">
        <v>522</v>
      </c>
      <c r="D68" s="466"/>
      <c r="E68" s="466"/>
      <c r="F68" s="194" t="s">
        <v>549</v>
      </c>
      <c r="G68" s="486"/>
      <c r="H68" s="476"/>
    </row>
    <row r="69" spans="1:8" x14ac:dyDescent="0.35">
      <c r="A69" s="476"/>
      <c r="B69" s="477"/>
      <c r="C69" s="466" t="s">
        <v>542</v>
      </c>
      <c r="D69" s="466"/>
      <c r="E69" s="466"/>
      <c r="F69" s="195">
        <v>4</v>
      </c>
      <c r="G69" s="486"/>
      <c r="H69" s="476"/>
    </row>
    <row r="70" spans="1:8" x14ac:dyDescent="0.35">
      <c r="A70" s="476"/>
      <c r="B70" s="477"/>
      <c r="C70" s="466" t="s">
        <v>543</v>
      </c>
      <c r="D70" s="466"/>
      <c r="E70" s="466"/>
      <c r="F70" s="194" t="s">
        <v>544</v>
      </c>
      <c r="G70" s="486"/>
      <c r="H70" s="476"/>
    </row>
    <row r="71" spans="1:8" x14ac:dyDescent="0.35">
      <c r="A71" s="476"/>
      <c r="B71" s="477"/>
      <c r="C71" s="496" t="s">
        <v>524</v>
      </c>
      <c r="D71" s="497"/>
      <c r="E71" s="497"/>
      <c r="F71" s="498"/>
      <c r="G71" s="486"/>
      <c r="H71" s="476"/>
    </row>
    <row r="72" spans="1:8" x14ac:dyDescent="0.35">
      <c r="A72" s="476"/>
      <c r="B72" s="477"/>
      <c r="C72" s="466" t="s">
        <v>525</v>
      </c>
      <c r="D72" s="466"/>
      <c r="E72" s="466"/>
      <c r="F72" s="194" t="s">
        <v>533</v>
      </c>
      <c r="G72" s="486"/>
      <c r="H72" s="476"/>
    </row>
    <row r="73" spans="1:8" x14ac:dyDescent="0.35">
      <c r="A73" s="476"/>
      <c r="B73" s="477"/>
      <c r="C73" s="466" t="s">
        <v>527</v>
      </c>
      <c r="D73" s="466"/>
      <c r="E73" s="466"/>
      <c r="F73" s="194" t="s">
        <v>526</v>
      </c>
      <c r="G73" s="486"/>
      <c r="H73" s="476"/>
    </row>
    <row r="74" spans="1:8" x14ac:dyDescent="0.35">
      <c r="A74" s="476"/>
      <c r="B74" s="477"/>
      <c r="C74" s="499" t="s">
        <v>528</v>
      </c>
      <c r="D74" s="500"/>
      <c r="E74" s="501"/>
      <c r="F74" s="194" t="s">
        <v>529</v>
      </c>
      <c r="G74" s="486"/>
      <c r="H74" s="476"/>
    </row>
    <row r="75" spans="1:8" x14ac:dyDescent="0.35">
      <c r="A75" s="476"/>
      <c r="B75" s="477"/>
      <c r="C75" s="499" t="s">
        <v>530</v>
      </c>
      <c r="D75" s="500"/>
      <c r="E75" s="501"/>
      <c r="F75" s="194" t="s">
        <v>529</v>
      </c>
      <c r="G75" s="486"/>
      <c r="H75" s="476"/>
    </row>
    <row r="76" spans="1:8" x14ac:dyDescent="0.35">
      <c r="A76" s="476"/>
      <c r="B76" s="477"/>
      <c r="C76" s="499" t="s">
        <v>547</v>
      </c>
      <c r="D76" s="500"/>
      <c r="E76" s="501"/>
      <c r="F76" s="194" t="s">
        <v>529</v>
      </c>
      <c r="G76" s="486"/>
      <c r="H76" s="476"/>
    </row>
    <row r="77" spans="1:8" x14ac:dyDescent="0.35">
      <c r="A77" s="487" t="s">
        <v>550</v>
      </c>
      <c r="B77" s="488"/>
      <c r="C77" s="488"/>
      <c r="D77" s="488"/>
      <c r="E77" s="488"/>
      <c r="F77" s="488"/>
      <c r="G77" s="488"/>
      <c r="H77" s="489"/>
    </row>
    <row r="78" spans="1:8" x14ac:dyDescent="0.35">
      <c r="A78" s="493"/>
      <c r="B78" s="494"/>
      <c r="C78" s="465" t="s">
        <v>517</v>
      </c>
      <c r="D78" s="465"/>
      <c r="E78" s="465"/>
      <c r="F78" s="465"/>
      <c r="G78" s="495"/>
      <c r="H78" s="493"/>
    </row>
    <row r="79" spans="1:8" x14ac:dyDescent="0.35">
      <c r="A79" s="476"/>
      <c r="B79" s="477"/>
      <c r="C79" s="466" t="s">
        <v>518</v>
      </c>
      <c r="D79" s="466"/>
      <c r="E79" s="466"/>
      <c r="F79" s="194" t="s">
        <v>531</v>
      </c>
      <c r="G79" s="486"/>
      <c r="H79" s="476"/>
    </row>
    <row r="80" spans="1:8" x14ac:dyDescent="0.35">
      <c r="A80" s="476"/>
      <c r="B80" s="477"/>
      <c r="C80" s="466" t="s">
        <v>520</v>
      </c>
      <c r="D80" s="466"/>
      <c r="E80" s="466"/>
      <c r="F80" s="194" t="s">
        <v>521</v>
      </c>
      <c r="G80" s="486"/>
      <c r="H80" s="476"/>
    </row>
    <row r="81" spans="1:8" x14ac:dyDescent="0.35">
      <c r="A81" s="476"/>
      <c r="B81" s="477"/>
      <c r="C81" s="466" t="s">
        <v>522</v>
      </c>
      <c r="D81" s="466"/>
      <c r="E81" s="466"/>
      <c r="F81" s="194" t="s">
        <v>551</v>
      </c>
      <c r="G81" s="486"/>
      <c r="H81" s="476"/>
    </row>
    <row r="82" spans="1:8" x14ac:dyDescent="0.35">
      <c r="A82" s="476"/>
      <c r="B82" s="477"/>
      <c r="C82" s="466" t="s">
        <v>542</v>
      </c>
      <c r="D82" s="466"/>
      <c r="E82" s="466"/>
      <c r="F82" s="195">
        <v>5</v>
      </c>
      <c r="G82" s="486"/>
      <c r="H82" s="476"/>
    </row>
    <row r="83" spans="1:8" x14ac:dyDescent="0.35">
      <c r="A83" s="476"/>
      <c r="B83" s="477"/>
      <c r="C83" s="466" t="s">
        <v>543</v>
      </c>
      <c r="D83" s="466"/>
      <c r="E83" s="466"/>
      <c r="F83" s="194" t="s">
        <v>544</v>
      </c>
      <c r="G83" s="486"/>
      <c r="H83" s="476"/>
    </row>
    <row r="84" spans="1:8" x14ac:dyDescent="0.35">
      <c r="A84" s="476"/>
      <c r="B84" s="477"/>
      <c r="C84" s="496" t="s">
        <v>524</v>
      </c>
      <c r="D84" s="497"/>
      <c r="E84" s="497"/>
      <c r="F84" s="498"/>
      <c r="G84" s="486"/>
      <c r="H84" s="476"/>
    </row>
    <row r="85" spans="1:8" x14ac:dyDescent="0.35">
      <c r="A85" s="476"/>
      <c r="B85" s="477"/>
      <c r="C85" s="466" t="s">
        <v>525</v>
      </c>
      <c r="D85" s="466"/>
      <c r="E85" s="466"/>
      <c r="F85" s="194" t="s">
        <v>533</v>
      </c>
      <c r="G85" s="486"/>
      <c r="H85" s="476"/>
    </row>
    <row r="86" spans="1:8" x14ac:dyDescent="0.35">
      <c r="A86" s="476"/>
      <c r="B86" s="477"/>
      <c r="C86" s="466" t="s">
        <v>527</v>
      </c>
      <c r="D86" s="466"/>
      <c r="E86" s="466"/>
      <c r="F86" s="194" t="s">
        <v>526</v>
      </c>
      <c r="G86" s="486"/>
      <c r="H86" s="476"/>
    </row>
    <row r="87" spans="1:8" x14ac:dyDescent="0.35">
      <c r="A87" s="476"/>
      <c r="B87" s="477"/>
      <c r="C87" s="499" t="s">
        <v>528</v>
      </c>
      <c r="D87" s="500"/>
      <c r="E87" s="501"/>
      <c r="F87" s="194" t="s">
        <v>529</v>
      </c>
      <c r="G87" s="486"/>
      <c r="H87" s="476"/>
    </row>
    <row r="88" spans="1:8" x14ac:dyDescent="0.35">
      <c r="A88" s="476"/>
      <c r="B88" s="477"/>
      <c r="C88" s="499" t="s">
        <v>530</v>
      </c>
      <c r="D88" s="500"/>
      <c r="E88" s="501"/>
      <c r="F88" s="194" t="s">
        <v>529</v>
      </c>
      <c r="G88" s="486"/>
      <c r="H88" s="476"/>
    </row>
    <row r="89" spans="1:8" x14ac:dyDescent="0.35">
      <c r="A89" s="476"/>
      <c r="B89" s="477"/>
      <c r="C89" s="499" t="s">
        <v>547</v>
      </c>
      <c r="D89" s="500"/>
      <c r="E89" s="501"/>
      <c r="F89" s="194" t="s">
        <v>529</v>
      </c>
      <c r="G89" s="486"/>
      <c r="H89" s="476"/>
    </row>
    <row r="90" spans="1:8" x14ac:dyDescent="0.35">
      <c r="A90" s="487" t="s">
        <v>552</v>
      </c>
      <c r="B90" s="488"/>
      <c r="C90" s="488"/>
      <c r="D90" s="488"/>
      <c r="E90" s="488"/>
      <c r="F90" s="488"/>
      <c r="G90" s="488"/>
      <c r="H90" s="489"/>
    </row>
    <row r="91" spans="1:8" x14ac:dyDescent="0.35">
      <c r="A91" s="493"/>
      <c r="B91" s="494"/>
      <c r="C91" s="465" t="s">
        <v>517</v>
      </c>
      <c r="D91" s="465"/>
      <c r="E91" s="465"/>
      <c r="F91" s="465"/>
      <c r="G91" s="495"/>
      <c r="H91" s="493"/>
    </row>
    <row r="92" spans="1:8" x14ac:dyDescent="0.35">
      <c r="A92" s="476"/>
      <c r="B92" s="477"/>
      <c r="C92" s="466" t="s">
        <v>518</v>
      </c>
      <c r="D92" s="466"/>
      <c r="E92" s="466"/>
      <c r="F92" s="194" t="s">
        <v>531</v>
      </c>
      <c r="G92" s="486"/>
      <c r="H92" s="476"/>
    </row>
    <row r="93" spans="1:8" x14ac:dyDescent="0.35">
      <c r="A93" s="476"/>
      <c r="B93" s="477"/>
      <c r="C93" s="466" t="s">
        <v>520</v>
      </c>
      <c r="D93" s="466"/>
      <c r="E93" s="466"/>
      <c r="F93" s="194" t="s">
        <v>521</v>
      </c>
      <c r="G93" s="486"/>
      <c r="H93" s="476"/>
    </row>
    <row r="94" spans="1:8" x14ac:dyDescent="0.35">
      <c r="A94" s="476"/>
      <c r="B94" s="477"/>
      <c r="C94" s="466" t="s">
        <v>522</v>
      </c>
      <c r="D94" s="466"/>
      <c r="E94" s="466"/>
      <c r="F94" s="194" t="s">
        <v>553</v>
      </c>
      <c r="G94" s="486"/>
      <c r="H94" s="476"/>
    </row>
    <row r="95" spans="1:8" x14ac:dyDescent="0.35">
      <c r="A95" s="476"/>
      <c r="B95" s="477"/>
      <c r="C95" s="466" t="s">
        <v>542</v>
      </c>
      <c r="D95" s="466"/>
      <c r="E95" s="466"/>
      <c r="F95" s="195">
        <v>7</v>
      </c>
      <c r="G95" s="486"/>
      <c r="H95" s="476"/>
    </row>
    <row r="96" spans="1:8" x14ac:dyDescent="0.35">
      <c r="A96" s="476"/>
      <c r="B96" s="477"/>
      <c r="C96" s="466" t="s">
        <v>543</v>
      </c>
      <c r="D96" s="466"/>
      <c r="E96" s="466"/>
      <c r="F96" s="194" t="s">
        <v>544</v>
      </c>
      <c r="G96" s="486"/>
      <c r="H96" s="476"/>
    </row>
    <row r="97" spans="1:8" x14ac:dyDescent="0.35">
      <c r="A97" s="476"/>
      <c r="B97" s="477"/>
      <c r="C97" s="496" t="s">
        <v>524</v>
      </c>
      <c r="D97" s="497"/>
      <c r="E97" s="497"/>
      <c r="F97" s="498"/>
      <c r="G97" s="486"/>
      <c r="H97" s="476"/>
    </row>
    <row r="98" spans="1:8" x14ac:dyDescent="0.35">
      <c r="A98" s="476"/>
      <c r="B98" s="477"/>
      <c r="C98" s="466" t="s">
        <v>525</v>
      </c>
      <c r="D98" s="466"/>
      <c r="E98" s="466"/>
      <c r="F98" s="194" t="s">
        <v>533</v>
      </c>
      <c r="G98" s="486"/>
      <c r="H98" s="476"/>
    </row>
    <row r="99" spans="1:8" x14ac:dyDescent="0.35">
      <c r="A99" s="476"/>
      <c r="B99" s="477"/>
      <c r="C99" s="466" t="s">
        <v>527</v>
      </c>
      <c r="D99" s="466"/>
      <c r="E99" s="466"/>
      <c r="F99" s="194" t="s">
        <v>526</v>
      </c>
      <c r="G99" s="486"/>
      <c r="H99" s="476"/>
    </row>
    <row r="100" spans="1:8" x14ac:dyDescent="0.35">
      <c r="A100" s="476"/>
      <c r="B100" s="477"/>
      <c r="C100" s="499" t="s">
        <v>528</v>
      </c>
      <c r="D100" s="500"/>
      <c r="E100" s="501"/>
      <c r="F100" s="194" t="s">
        <v>529</v>
      </c>
      <c r="G100" s="486"/>
      <c r="H100" s="476"/>
    </row>
    <row r="101" spans="1:8" x14ac:dyDescent="0.35">
      <c r="A101" s="476"/>
      <c r="B101" s="477"/>
      <c r="C101" s="499" t="s">
        <v>530</v>
      </c>
      <c r="D101" s="500"/>
      <c r="E101" s="501"/>
      <c r="F101" s="194" t="s">
        <v>529</v>
      </c>
      <c r="G101" s="486"/>
      <c r="H101" s="476"/>
    </row>
    <row r="102" spans="1:8" x14ac:dyDescent="0.35">
      <c r="A102" s="476"/>
      <c r="B102" s="477"/>
      <c r="C102" s="499" t="s">
        <v>547</v>
      </c>
      <c r="D102" s="500"/>
      <c r="E102" s="501"/>
      <c r="F102" s="194" t="s">
        <v>529</v>
      </c>
      <c r="G102" s="486"/>
      <c r="H102" s="476"/>
    </row>
    <row r="103" spans="1:8" x14ac:dyDescent="0.35">
      <c r="A103" s="487" t="s">
        <v>554</v>
      </c>
      <c r="B103" s="488"/>
      <c r="C103" s="488"/>
      <c r="D103" s="488"/>
      <c r="E103" s="488"/>
      <c r="F103" s="488"/>
      <c r="G103" s="488"/>
      <c r="H103" s="489"/>
    </row>
    <row r="104" spans="1:8" x14ac:dyDescent="0.35">
      <c r="A104" s="493"/>
      <c r="B104" s="494"/>
      <c r="C104" s="465" t="s">
        <v>517</v>
      </c>
      <c r="D104" s="465"/>
      <c r="E104" s="465"/>
      <c r="F104" s="465"/>
      <c r="G104" s="495"/>
      <c r="H104" s="493"/>
    </row>
    <row r="105" spans="1:8" x14ac:dyDescent="0.35">
      <c r="A105" s="476"/>
      <c r="B105" s="477"/>
      <c r="C105" s="466" t="s">
        <v>518</v>
      </c>
      <c r="D105" s="466"/>
      <c r="E105" s="466"/>
      <c r="F105" s="194" t="s">
        <v>531</v>
      </c>
      <c r="G105" s="486"/>
      <c r="H105" s="476"/>
    </row>
    <row r="106" spans="1:8" x14ac:dyDescent="0.35">
      <c r="A106" s="476"/>
      <c r="B106" s="477"/>
      <c r="C106" s="466" t="s">
        <v>520</v>
      </c>
      <c r="D106" s="466"/>
      <c r="E106" s="466"/>
      <c r="F106" s="194" t="s">
        <v>521</v>
      </c>
      <c r="G106" s="486"/>
      <c r="H106" s="476"/>
    </row>
    <row r="107" spans="1:8" x14ac:dyDescent="0.35">
      <c r="A107" s="476"/>
      <c r="B107" s="477"/>
      <c r="C107" s="466" t="s">
        <v>522</v>
      </c>
      <c r="D107" s="466"/>
      <c r="E107" s="466"/>
      <c r="F107" s="194" t="s">
        <v>556</v>
      </c>
      <c r="G107" s="486"/>
      <c r="H107" s="476"/>
    </row>
    <row r="108" spans="1:8" x14ac:dyDescent="0.35">
      <c r="A108" s="476"/>
      <c r="B108" s="477"/>
      <c r="C108" s="466" t="s">
        <v>542</v>
      </c>
      <c r="D108" s="466"/>
      <c r="E108" s="466"/>
      <c r="F108" s="195">
        <v>9</v>
      </c>
      <c r="G108" s="486"/>
      <c r="H108" s="476"/>
    </row>
    <row r="109" spans="1:8" x14ac:dyDescent="0.35">
      <c r="A109" s="476"/>
      <c r="B109" s="477"/>
      <c r="C109" s="466" t="s">
        <v>543</v>
      </c>
      <c r="D109" s="466"/>
      <c r="E109" s="466"/>
      <c r="F109" s="194" t="s">
        <v>544</v>
      </c>
      <c r="G109" s="486"/>
      <c r="H109" s="476"/>
    </row>
    <row r="110" spans="1:8" x14ac:dyDescent="0.35">
      <c r="A110" s="476"/>
      <c r="B110" s="477"/>
      <c r="C110" s="496" t="s">
        <v>524</v>
      </c>
      <c r="D110" s="497"/>
      <c r="E110" s="497"/>
      <c r="F110" s="498"/>
      <c r="G110" s="486"/>
      <c r="H110" s="476"/>
    </row>
    <row r="111" spans="1:8" x14ac:dyDescent="0.35">
      <c r="A111" s="476"/>
      <c r="B111" s="477"/>
      <c r="C111" s="466" t="s">
        <v>525</v>
      </c>
      <c r="D111" s="466"/>
      <c r="E111" s="466"/>
      <c r="F111" s="194" t="s">
        <v>533</v>
      </c>
      <c r="G111" s="486"/>
      <c r="H111" s="476"/>
    </row>
    <row r="112" spans="1:8" x14ac:dyDescent="0.35">
      <c r="A112" s="476"/>
      <c r="B112" s="477"/>
      <c r="C112" s="466" t="s">
        <v>527</v>
      </c>
      <c r="D112" s="466"/>
      <c r="E112" s="466"/>
      <c r="F112" s="194" t="s">
        <v>526</v>
      </c>
      <c r="G112" s="486"/>
      <c r="H112" s="476"/>
    </row>
    <row r="113" spans="1:8" x14ac:dyDescent="0.35">
      <c r="A113" s="476"/>
      <c r="B113" s="477"/>
      <c r="C113" s="499" t="s">
        <v>528</v>
      </c>
      <c r="D113" s="500"/>
      <c r="E113" s="501"/>
      <c r="F113" s="194" t="s">
        <v>529</v>
      </c>
      <c r="G113" s="486"/>
      <c r="H113" s="476"/>
    </row>
    <row r="114" spans="1:8" x14ac:dyDescent="0.35">
      <c r="A114" s="476"/>
      <c r="B114" s="477"/>
      <c r="C114" s="499" t="s">
        <v>530</v>
      </c>
      <c r="D114" s="500"/>
      <c r="E114" s="501"/>
      <c r="F114" s="194" t="s">
        <v>529</v>
      </c>
      <c r="G114" s="486"/>
      <c r="H114" s="476"/>
    </row>
    <row r="115" spans="1:8" x14ac:dyDescent="0.35">
      <c r="A115" s="476"/>
      <c r="B115" s="477"/>
      <c r="C115" s="499" t="s">
        <v>547</v>
      </c>
      <c r="D115" s="500"/>
      <c r="E115" s="501"/>
      <c r="F115" s="194" t="s">
        <v>529</v>
      </c>
      <c r="G115" s="486"/>
      <c r="H115" s="476"/>
    </row>
    <row r="116" spans="1:8" x14ac:dyDescent="0.35">
      <c r="A116" s="487" t="s">
        <v>555</v>
      </c>
      <c r="B116" s="488"/>
      <c r="C116" s="488"/>
      <c r="D116" s="488"/>
      <c r="E116" s="488"/>
      <c r="F116" s="488"/>
      <c r="G116" s="488"/>
      <c r="H116" s="489"/>
    </row>
    <row r="117" spans="1:8" x14ac:dyDescent="0.35">
      <c r="A117" s="493"/>
      <c r="B117" s="494"/>
      <c r="C117" s="465" t="s">
        <v>517</v>
      </c>
      <c r="D117" s="465"/>
      <c r="E117" s="465"/>
      <c r="F117" s="465"/>
      <c r="G117" s="495"/>
      <c r="H117" s="493"/>
    </row>
    <row r="118" spans="1:8" x14ac:dyDescent="0.35">
      <c r="A118" s="476"/>
      <c r="B118" s="477"/>
      <c r="C118" s="466" t="s">
        <v>518</v>
      </c>
      <c r="D118" s="466"/>
      <c r="E118" s="466"/>
      <c r="F118" s="194" t="s">
        <v>531</v>
      </c>
      <c r="G118" s="486"/>
      <c r="H118" s="476"/>
    </row>
    <row r="119" spans="1:8" x14ac:dyDescent="0.35">
      <c r="A119" s="476"/>
      <c r="B119" s="477"/>
      <c r="C119" s="466" t="s">
        <v>520</v>
      </c>
      <c r="D119" s="466"/>
      <c r="E119" s="466"/>
      <c r="F119" s="194" t="s">
        <v>521</v>
      </c>
      <c r="G119" s="486"/>
      <c r="H119" s="476"/>
    </row>
    <row r="120" spans="1:8" x14ac:dyDescent="0.35">
      <c r="A120" s="476"/>
      <c r="B120" s="477"/>
      <c r="C120" s="466" t="s">
        <v>522</v>
      </c>
      <c r="D120" s="466"/>
      <c r="E120" s="466"/>
      <c r="F120" s="194" t="s">
        <v>556</v>
      </c>
      <c r="G120" s="486"/>
      <c r="H120" s="476"/>
    </row>
    <row r="121" spans="1:8" x14ac:dyDescent="0.35">
      <c r="A121" s="476"/>
      <c r="B121" s="477"/>
      <c r="C121" s="466" t="s">
        <v>542</v>
      </c>
      <c r="D121" s="466"/>
      <c r="E121" s="466"/>
      <c r="F121" s="195">
        <v>9</v>
      </c>
      <c r="G121" s="486"/>
      <c r="H121" s="476"/>
    </row>
    <row r="122" spans="1:8" x14ac:dyDescent="0.35">
      <c r="A122" s="476"/>
      <c r="B122" s="477"/>
      <c r="C122" s="466" t="s">
        <v>543</v>
      </c>
      <c r="D122" s="466"/>
      <c r="E122" s="466"/>
      <c r="F122" s="194" t="s">
        <v>544</v>
      </c>
      <c r="G122" s="486"/>
      <c r="H122" s="476"/>
    </row>
    <row r="123" spans="1:8" x14ac:dyDescent="0.35">
      <c r="A123" s="476"/>
      <c r="B123" s="477"/>
      <c r="C123" s="496" t="s">
        <v>524</v>
      </c>
      <c r="D123" s="497"/>
      <c r="E123" s="497"/>
      <c r="F123" s="498"/>
      <c r="G123" s="486"/>
      <c r="H123" s="476"/>
    </row>
    <row r="124" spans="1:8" x14ac:dyDescent="0.35">
      <c r="A124" s="476"/>
      <c r="B124" s="477"/>
      <c r="C124" s="466" t="s">
        <v>525</v>
      </c>
      <c r="D124" s="466"/>
      <c r="E124" s="466"/>
      <c r="F124" s="194" t="s">
        <v>533</v>
      </c>
      <c r="G124" s="486"/>
      <c r="H124" s="476"/>
    </row>
    <row r="125" spans="1:8" x14ac:dyDescent="0.35">
      <c r="A125" s="476"/>
      <c r="B125" s="477"/>
      <c r="C125" s="466" t="s">
        <v>527</v>
      </c>
      <c r="D125" s="466"/>
      <c r="E125" s="466"/>
      <c r="F125" s="194" t="s">
        <v>526</v>
      </c>
      <c r="G125" s="486"/>
      <c r="H125" s="476"/>
    </row>
    <row r="126" spans="1:8" x14ac:dyDescent="0.35">
      <c r="A126" s="476"/>
      <c r="B126" s="477"/>
      <c r="C126" s="499" t="s">
        <v>528</v>
      </c>
      <c r="D126" s="500"/>
      <c r="E126" s="501"/>
      <c r="F126" s="194" t="s">
        <v>529</v>
      </c>
      <c r="G126" s="486"/>
      <c r="H126" s="476"/>
    </row>
    <row r="127" spans="1:8" x14ac:dyDescent="0.35">
      <c r="A127" s="476"/>
      <c r="B127" s="477"/>
      <c r="C127" s="499" t="s">
        <v>530</v>
      </c>
      <c r="D127" s="500"/>
      <c r="E127" s="501"/>
      <c r="F127" s="194" t="s">
        <v>529</v>
      </c>
      <c r="G127" s="486"/>
      <c r="H127" s="476"/>
    </row>
    <row r="128" spans="1:8" x14ac:dyDescent="0.35">
      <c r="A128" s="476"/>
      <c r="B128" s="477"/>
      <c r="C128" s="499" t="s">
        <v>547</v>
      </c>
      <c r="D128" s="500"/>
      <c r="E128" s="501"/>
      <c r="F128" s="194" t="s">
        <v>529</v>
      </c>
      <c r="G128" s="486"/>
      <c r="H128" s="476"/>
    </row>
    <row r="129" spans="1:8" x14ac:dyDescent="0.35">
      <c r="A129" s="487" t="s">
        <v>557</v>
      </c>
      <c r="B129" s="488"/>
      <c r="C129" s="488"/>
      <c r="D129" s="488"/>
      <c r="E129" s="488"/>
      <c r="F129" s="488"/>
      <c r="G129" s="488"/>
      <c r="H129" s="489"/>
    </row>
    <row r="130" spans="1:8" x14ac:dyDescent="0.35">
      <c r="A130" s="493"/>
      <c r="B130" s="494"/>
      <c r="C130" s="465" t="s">
        <v>517</v>
      </c>
      <c r="D130" s="465"/>
      <c r="E130" s="465"/>
      <c r="F130" s="465"/>
      <c r="G130" s="495"/>
      <c r="H130" s="493"/>
    </row>
    <row r="131" spans="1:8" x14ac:dyDescent="0.35">
      <c r="A131" s="476"/>
      <c r="B131" s="477"/>
      <c r="C131" s="466" t="s">
        <v>518</v>
      </c>
      <c r="D131" s="466"/>
      <c r="E131" s="466"/>
      <c r="F131" s="194" t="s">
        <v>531</v>
      </c>
      <c r="G131" s="486"/>
      <c r="H131" s="476"/>
    </row>
    <row r="132" spans="1:8" x14ac:dyDescent="0.35">
      <c r="A132" s="476"/>
      <c r="B132" s="477"/>
      <c r="C132" s="466" t="s">
        <v>520</v>
      </c>
      <c r="D132" s="466"/>
      <c r="E132" s="466"/>
      <c r="F132" s="194" t="s">
        <v>521</v>
      </c>
      <c r="G132" s="486"/>
      <c r="H132" s="476"/>
    </row>
    <row r="133" spans="1:8" x14ac:dyDescent="0.35">
      <c r="A133" s="476"/>
      <c r="B133" s="477"/>
      <c r="C133" s="466" t="s">
        <v>522</v>
      </c>
      <c r="D133" s="466"/>
      <c r="E133" s="466"/>
      <c r="F133" s="194" t="s">
        <v>558</v>
      </c>
      <c r="G133" s="486"/>
      <c r="H133" s="476"/>
    </row>
    <row r="134" spans="1:8" x14ac:dyDescent="0.35">
      <c r="A134" s="476"/>
      <c r="B134" s="477"/>
      <c r="C134" s="466" t="s">
        <v>542</v>
      </c>
      <c r="D134" s="466"/>
      <c r="E134" s="466"/>
      <c r="F134" s="195">
        <v>3</v>
      </c>
      <c r="G134" s="486"/>
      <c r="H134" s="476"/>
    </row>
    <row r="135" spans="1:8" x14ac:dyDescent="0.35">
      <c r="A135" s="476"/>
      <c r="B135" s="477"/>
      <c r="C135" s="466" t="s">
        <v>543</v>
      </c>
      <c r="D135" s="466"/>
      <c r="E135" s="466"/>
      <c r="F135" s="194" t="s">
        <v>559</v>
      </c>
      <c r="G135" s="486"/>
      <c r="H135" s="476"/>
    </row>
    <row r="136" spans="1:8" x14ac:dyDescent="0.35">
      <c r="A136" s="476"/>
      <c r="B136" s="477"/>
      <c r="C136" s="492" t="s">
        <v>524</v>
      </c>
      <c r="D136" s="492"/>
      <c r="E136" s="492"/>
      <c r="F136" s="492"/>
      <c r="G136" s="486"/>
      <c r="H136" s="476"/>
    </row>
    <row r="137" spans="1:8" x14ac:dyDescent="0.35">
      <c r="A137" s="476"/>
      <c r="B137" s="477"/>
      <c r="C137" s="466" t="s">
        <v>560</v>
      </c>
      <c r="D137" s="466"/>
      <c r="E137" s="466"/>
      <c r="F137" s="194" t="s">
        <v>561</v>
      </c>
      <c r="G137" s="486"/>
      <c r="H137" s="476"/>
    </row>
    <row r="138" spans="1:8" x14ac:dyDescent="0.35">
      <c r="A138" s="476"/>
      <c r="B138" s="477"/>
      <c r="C138" s="466" t="s">
        <v>562</v>
      </c>
      <c r="D138" s="466"/>
      <c r="E138" s="466"/>
      <c r="F138" s="194" t="s">
        <v>563</v>
      </c>
      <c r="G138" s="486"/>
      <c r="H138" s="476"/>
    </row>
    <row r="139" spans="1:8" x14ac:dyDescent="0.35">
      <c r="A139" s="476"/>
      <c r="B139" s="477"/>
      <c r="C139" s="508" t="s">
        <v>527</v>
      </c>
      <c r="D139" s="508"/>
      <c r="E139" s="508"/>
      <c r="F139" s="194" t="s">
        <v>563</v>
      </c>
      <c r="G139" s="486"/>
      <c r="H139" s="476"/>
    </row>
    <row r="140" spans="1:8" x14ac:dyDescent="0.35">
      <c r="A140" s="487" t="s">
        <v>564</v>
      </c>
      <c r="B140" s="488"/>
      <c r="C140" s="488"/>
      <c r="D140" s="488"/>
      <c r="E140" s="488"/>
      <c r="F140" s="488"/>
      <c r="G140" s="488"/>
      <c r="H140" s="489"/>
    </row>
    <row r="141" spans="1:8" x14ac:dyDescent="0.35">
      <c r="A141" s="493"/>
      <c r="B141" s="494"/>
      <c r="C141" s="465" t="s">
        <v>517</v>
      </c>
      <c r="D141" s="465"/>
      <c r="E141" s="465"/>
      <c r="F141" s="465"/>
      <c r="G141" s="495"/>
      <c r="H141" s="493"/>
    </row>
    <row r="142" spans="1:8" x14ac:dyDescent="0.35">
      <c r="A142" s="476"/>
      <c r="B142" s="477"/>
      <c r="C142" s="466" t="s">
        <v>518</v>
      </c>
      <c r="D142" s="466"/>
      <c r="E142" s="466"/>
      <c r="F142" s="194" t="s">
        <v>531</v>
      </c>
      <c r="G142" s="486"/>
      <c r="H142" s="476"/>
    </row>
    <row r="143" spans="1:8" x14ac:dyDescent="0.35">
      <c r="A143" s="476"/>
      <c r="B143" s="477"/>
      <c r="C143" s="466" t="s">
        <v>520</v>
      </c>
      <c r="D143" s="466"/>
      <c r="E143" s="466"/>
      <c r="F143" s="194" t="s">
        <v>521</v>
      </c>
      <c r="G143" s="486"/>
      <c r="H143" s="476"/>
    </row>
    <row r="144" spans="1:8" x14ac:dyDescent="0.35">
      <c r="A144" s="476"/>
      <c r="B144" s="477"/>
      <c r="C144" s="466" t="s">
        <v>522</v>
      </c>
      <c r="D144" s="466"/>
      <c r="E144" s="466"/>
      <c r="F144" s="194" t="s">
        <v>558</v>
      </c>
      <c r="G144" s="486"/>
      <c r="H144" s="476"/>
    </row>
    <row r="145" spans="1:8" x14ac:dyDescent="0.35">
      <c r="A145" s="476"/>
      <c r="B145" s="477"/>
      <c r="C145" s="466" t="s">
        <v>542</v>
      </c>
      <c r="D145" s="466"/>
      <c r="E145" s="466"/>
      <c r="F145" s="195">
        <v>3</v>
      </c>
      <c r="G145" s="486"/>
      <c r="H145" s="476"/>
    </row>
    <row r="146" spans="1:8" x14ac:dyDescent="0.35">
      <c r="A146" s="476"/>
      <c r="B146" s="477"/>
      <c r="C146" s="466" t="s">
        <v>543</v>
      </c>
      <c r="D146" s="466"/>
      <c r="E146" s="466"/>
      <c r="F146" s="194" t="s">
        <v>559</v>
      </c>
      <c r="G146" s="486"/>
      <c r="H146" s="476"/>
    </row>
    <row r="147" spans="1:8" x14ac:dyDescent="0.35">
      <c r="A147" s="476"/>
      <c r="B147" s="477"/>
      <c r="C147" s="492" t="s">
        <v>524</v>
      </c>
      <c r="D147" s="492"/>
      <c r="E147" s="492"/>
      <c r="F147" s="492"/>
      <c r="G147" s="486"/>
      <c r="H147" s="476"/>
    </row>
    <row r="148" spans="1:8" x14ac:dyDescent="0.35">
      <c r="A148" s="476"/>
      <c r="B148" s="477"/>
      <c r="C148" s="466" t="s">
        <v>560</v>
      </c>
      <c r="D148" s="466"/>
      <c r="E148" s="466"/>
      <c r="F148" s="194" t="s">
        <v>561</v>
      </c>
      <c r="G148" s="486"/>
      <c r="H148" s="476"/>
    </row>
    <row r="149" spans="1:8" x14ac:dyDescent="0.35">
      <c r="A149" s="476"/>
      <c r="B149" s="477"/>
      <c r="C149" s="466" t="s">
        <v>562</v>
      </c>
      <c r="D149" s="466"/>
      <c r="E149" s="466"/>
      <c r="F149" s="194" t="s">
        <v>563</v>
      </c>
      <c r="G149" s="486"/>
      <c r="H149" s="476"/>
    </row>
    <row r="150" spans="1:8" x14ac:dyDescent="0.35">
      <c r="A150" s="510"/>
      <c r="B150" s="511"/>
      <c r="C150" s="508" t="s">
        <v>527</v>
      </c>
      <c r="D150" s="508"/>
      <c r="E150" s="508"/>
      <c r="F150" s="194" t="s">
        <v>563</v>
      </c>
      <c r="G150" s="509"/>
      <c r="H150" s="510"/>
    </row>
    <row r="151" spans="1:8" x14ac:dyDescent="0.35">
      <c r="A151" s="487" t="s">
        <v>565</v>
      </c>
      <c r="B151" s="488"/>
      <c r="C151" s="488"/>
      <c r="D151" s="488"/>
      <c r="E151" s="488"/>
      <c r="F151" s="488"/>
      <c r="G151" s="488"/>
      <c r="H151" s="489"/>
    </row>
    <row r="152" spans="1:8" x14ac:dyDescent="0.35">
      <c r="A152" s="493"/>
      <c r="B152" s="494"/>
      <c r="C152" s="465" t="s">
        <v>517</v>
      </c>
      <c r="D152" s="465"/>
      <c r="E152" s="465"/>
      <c r="F152" s="465"/>
      <c r="G152" s="495"/>
      <c r="H152" s="493"/>
    </row>
    <row r="153" spans="1:8" x14ac:dyDescent="0.35">
      <c r="A153" s="476"/>
      <c r="B153" s="477"/>
      <c r="C153" s="466" t="s">
        <v>518</v>
      </c>
      <c r="D153" s="466"/>
      <c r="E153" s="466"/>
      <c r="F153" s="194" t="s">
        <v>531</v>
      </c>
      <c r="G153" s="486"/>
      <c r="H153" s="476"/>
    </row>
    <row r="154" spans="1:8" x14ac:dyDescent="0.35">
      <c r="A154" s="476"/>
      <c r="B154" s="477"/>
      <c r="C154" s="466" t="s">
        <v>520</v>
      </c>
      <c r="D154" s="466"/>
      <c r="E154" s="466"/>
      <c r="F154" s="194" t="s">
        <v>521</v>
      </c>
      <c r="G154" s="486"/>
      <c r="H154" s="476"/>
    </row>
    <row r="155" spans="1:8" x14ac:dyDescent="0.35">
      <c r="A155" s="476"/>
      <c r="B155" s="477"/>
      <c r="C155" s="466" t="s">
        <v>522</v>
      </c>
      <c r="D155" s="466"/>
      <c r="E155" s="466"/>
      <c r="F155" s="194" t="s">
        <v>558</v>
      </c>
      <c r="G155" s="486"/>
      <c r="H155" s="476"/>
    </row>
    <row r="156" spans="1:8" x14ac:dyDescent="0.35">
      <c r="A156" s="476"/>
      <c r="B156" s="477"/>
      <c r="C156" s="466" t="s">
        <v>542</v>
      </c>
      <c r="D156" s="466"/>
      <c r="E156" s="466"/>
      <c r="F156" s="195">
        <v>3</v>
      </c>
      <c r="G156" s="486"/>
      <c r="H156" s="476"/>
    </row>
    <row r="157" spans="1:8" x14ac:dyDescent="0.35">
      <c r="A157" s="476"/>
      <c r="B157" s="477"/>
      <c r="C157" s="466" t="s">
        <v>543</v>
      </c>
      <c r="D157" s="466"/>
      <c r="E157" s="466"/>
      <c r="F157" s="194" t="s">
        <v>559</v>
      </c>
      <c r="G157" s="486"/>
      <c r="H157" s="476"/>
    </row>
    <row r="158" spans="1:8" x14ac:dyDescent="0.35">
      <c r="A158" s="476"/>
      <c r="B158" s="477"/>
      <c r="C158" s="492" t="s">
        <v>524</v>
      </c>
      <c r="D158" s="492"/>
      <c r="E158" s="492"/>
      <c r="F158" s="492"/>
      <c r="G158" s="486"/>
      <c r="H158" s="476"/>
    </row>
    <row r="159" spans="1:8" x14ac:dyDescent="0.35">
      <c r="A159" s="476"/>
      <c r="B159" s="477"/>
      <c r="C159" s="466" t="s">
        <v>560</v>
      </c>
      <c r="D159" s="466"/>
      <c r="E159" s="466"/>
      <c r="F159" s="194" t="s">
        <v>561</v>
      </c>
      <c r="G159" s="486"/>
      <c r="H159" s="476"/>
    </row>
    <row r="160" spans="1:8" x14ac:dyDescent="0.35">
      <c r="A160" s="476"/>
      <c r="B160" s="477"/>
      <c r="C160" s="466" t="s">
        <v>562</v>
      </c>
      <c r="D160" s="466"/>
      <c r="E160" s="466"/>
      <c r="F160" s="194" t="s">
        <v>563</v>
      </c>
      <c r="G160" s="486"/>
      <c r="H160" s="476"/>
    </row>
    <row r="161" spans="1:8" x14ac:dyDescent="0.35">
      <c r="A161" s="476"/>
      <c r="B161" s="477"/>
      <c r="C161" s="508" t="s">
        <v>527</v>
      </c>
      <c r="D161" s="508"/>
      <c r="E161" s="508"/>
      <c r="F161" s="194" t="s">
        <v>563</v>
      </c>
      <c r="G161" s="486"/>
      <c r="H161" s="476"/>
    </row>
    <row r="162" spans="1:8" x14ac:dyDescent="0.35">
      <c r="A162" s="487" t="s">
        <v>566</v>
      </c>
      <c r="B162" s="488"/>
      <c r="C162" s="488"/>
      <c r="D162" s="488"/>
      <c r="E162" s="488"/>
      <c r="F162" s="488"/>
      <c r="G162" s="488"/>
      <c r="H162" s="489"/>
    </row>
    <row r="163" spans="1:8" x14ac:dyDescent="0.35">
      <c r="A163" s="493"/>
      <c r="B163" s="494"/>
      <c r="C163" s="465" t="s">
        <v>517</v>
      </c>
      <c r="D163" s="465"/>
      <c r="E163" s="465"/>
      <c r="F163" s="465"/>
      <c r="G163" s="495"/>
      <c r="H163" s="493"/>
    </row>
    <row r="164" spans="1:8" x14ac:dyDescent="0.35">
      <c r="A164" s="476"/>
      <c r="B164" s="477"/>
      <c r="C164" s="466" t="s">
        <v>518</v>
      </c>
      <c r="D164" s="466"/>
      <c r="E164" s="466"/>
      <c r="F164" s="194" t="s">
        <v>531</v>
      </c>
      <c r="G164" s="486"/>
      <c r="H164" s="476"/>
    </row>
    <row r="165" spans="1:8" x14ac:dyDescent="0.35">
      <c r="A165" s="476"/>
      <c r="B165" s="477"/>
      <c r="C165" s="466" t="s">
        <v>520</v>
      </c>
      <c r="D165" s="466"/>
      <c r="E165" s="466"/>
      <c r="F165" s="194" t="s">
        <v>521</v>
      </c>
      <c r="G165" s="486"/>
      <c r="H165" s="476"/>
    </row>
    <row r="166" spans="1:8" x14ac:dyDescent="0.35">
      <c r="A166" s="476"/>
      <c r="B166" s="477"/>
      <c r="C166" s="466" t="s">
        <v>522</v>
      </c>
      <c r="D166" s="466"/>
      <c r="E166" s="466"/>
      <c r="F166" s="194" t="s">
        <v>567</v>
      </c>
      <c r="G166" s="486"/>
      <c r="H166" s="476"/>
    </row>
    <row r="167" spans="1:8" x14ac:dyDescent="0.35">
      <c r="A167" s="476"/>
      <c r="B167" s="477"/>
      <c r="C167" s="466" t="s">
        <v>542</v>
      </c>
      <c r="D167" s="466"/>
      <c r="E167" s="466"/>
      <c r="F167" s="195">
        <v>3</v>
      </c>
      <c r="G167" s="486"/>
      <c r="H167" s="476"/>
    </row>
    <row r="168" spans="1:8" x14ac:dyDescent="0.35">
      <c r="A168" s="476"/>
      <c r="B168" s="477"/>
      <c r="C168" s="466" t="s">
        <v>543</v>
      </c>
      <c r="D168" s="466"/>
      <c r="E168" s="466"/>
      <c r="F168" s="194" t="s">
        <v>544</v>
      </c>
      <c r="G168" s="486"/>
      <c r="H168" s="476"/>
    </row>
    <row r="169" spans="1:8" x14ac:dyDescent="0.35">
      <c r="A169" s="476"/>
      <c r="B169" s="477"/>
      <c r="C169" s="492" t="s">
        <v>524</v>
      </c>
      <c r="D169" s="492"/>
      <c r="E169" s="492"/>
      <c r="F169" s="492"/>
      <c r="G169" s="486"/>
      <c r="H169" s="476"/>
    </row>
    <row r="170" spans="1:8" x14ac:dyDescent="0.35">
      <c r="A170" s="476"/>
      <c r="B170" s="477"/>
      <c r="C170" s="466" t="s">
        <v>560</v>
      </c>
      <c r="D170" s="466"/>
      <c r="E170" s="466"/>
      <c r="F170" s="194" t="s">
        <v>533</v>
      </c>
      <c r="G170" s="486"/>
      <c r="H170" s="476"/>
    </row>
    <row r="171" spans="1:8" x14ac:dyDescent="0.35">
      <c r="A171" s="476"/>
      <c r="B171" s="477"/>
      <c r="C171" s="466" t="s">
        <v>527</v>
      </c>
      <c r="D171" s="466"/>
      <c r="E171" s="466"/>
      <c r="F171" s="194" t="s">
        <v>526</v>
      </c>
      <c r="G171" s="486"/>
      <c r="H171" s="476"/>
    </row>
    <row r="172" spans="1:8" x14ac:dyDescent="0.35">
      <c r="A172" s="476"/>
      <c r="B172" s="477"/>
      <c r="C172" s="508" t="s">
        <v>528</v>
      </c>
      <c r="D172" s="508"/>
      <c r="E172" s="508"/>
      <c r="F172" s="194" t="s">
        <v>529</v>
      </c>
      <c r="G172" s="486"/>
      <c r="H172" s="476"/>
    </row>
    <row r="173" spans="1:8" x14ac:dyDescent="0.35">
      <c r="A173" s="476"/>
      <c r="B173" s="477"/>
      <c r="C173" s="508" t="s">
        <v>568</v>
      </c>
      <c r="D173" s="508"/>
      <c r="E173" s="508"/>
      <c r="F173" s="194" t="s">
        <v>529</v>
      </c>
      <c r="G173" s="486"/>
      <c r="H173" s="476"/>
    </row>
    <row r="174" spans="1:8" x14ac:dyDescent="0.35">
      <c r="A174" s="487" t="s">
        <v>569</v>
      </c>
      <c r="B174" s="488"/>
      <c r="C174" s="488"/>
      <c r="D174" s="488"/>
      <c r="E174" s="488"/>
      <c r="F174" s="488"/>
      <c r="G174" s="488"/>
      <c r="H174" s="489"/>
    </row>
    <row r="175" spans="1:8" x14ac:dyDescent="0.35">
      <c r="A175" s="493"/>
      <c r="B175" s="494"/>
      <c r="C175" s="465" t="s">
        <v>517</v>
      </c>
      <c r="D175" s="465"/>
      <c r="E175" s="465"/>
      <c r="F175" s="465"/>
      <c r="G175" s="495"/>
      <c r="H175" s="493"/>
    </row>
    <row r="176" spans="1:8" x14ac:dyDescent="0.35">
      <c r="A176" s="476"/>
      <c r="B176" s="477"/>
      <c r="C176" s="466" t="s">
        <v>518</v>
      </c>
      <c r="D176" s="466"/>
      <c r="E176" s="466"/>
      <c r="F176" s="194" t="s">
        <v>531</v>
      </c>
      <c r="G176" s="486"/>
      <c r="H176" s="476"/>
    </row>
    <row r="177" spans="1:8" x14ac:dyDescent="0.35">
      <c r="A177" s="476"/>
      <c r="B177" s="477"/>
      <c r="C177" s="466" t="s">
        <v>520</v>
      </c>
      <c r="D177" s="466"/>
      <c r="E177" s="466"/>
      <c r="F177" s="194" t="s">
        <v>521</v>
      </c>
      <c r="G177" s="486"/>
      <c r="H177" s="476"/>
    </row>
    <row r="178" spans="1:8" x14ac:dyDescent="0.35">
      <c r="A178" s="476"/>
      <c r="B178" s="477"/>
      <c r="C178" s="466" t="s">
        <v>522</v>
      </c>
      <c r="D178" s="466"/>
      <c r="E178" s="466"/>
      <c r="F178" s="194" t="s">
        <v>570</v>
      </c>
      <c r="G178" s="486"/>
      <c r="H178" s="476"/>
    </row>
    <row r="179" spans="1:8" x14ac:dyDescent="0.35">
      <c r="A179" s="476"/>
      <c r="B179" s="477"/>
      <c r="C179" s="466" t="s">
        <v>542</v>
      </c>
      <c r="D179" s="466"/>
      <c r="E179" s="466"/>
      <c r="F179" s="195">
        <v>4</v>
      </c>
      <c r="G179" s="486"/>
      <c r="H179" s="476"/>
    </row>
    <row r="180" spans="1:8" x14ac:dyDescent="0.35">
      <c r="A180" s="476"/>
      <c r="B180" s="477"/>
      <c r="C180" s="466" t="s">
        <v>543</v>
      </c>
      <c r="D180" s="466"/>
      <c r="E180" s="466"/>
      <c r="F180" s="194" t="s">
        <v>544</v>
      </c>
      <c r="G180" s="486"/>
      <c r="H180" s="476"/>
    </row>
    <row r="181" spans="1:8" x14ac:dyDescent="0.35">
      <c r="A181" s="476"/>
      <c r="B181" s="477"/>
      <c r="C181" s="492" t="s">
        <v>524</v>
      </c>
      <c r="D181" s="492"/>
      <c r="E181" s="492"/>
      <c r="F181" s="492"/>
      <c r="G181" s="486"/>
      <c r="H181" s="476"/>
    </row>
    <row r="182" spans="1:8" x14ac:dyDescent="0.35">
      <c r="A182" s="476"/>
      <c r="B182" s="477"/>
      <c r="C182" s="466" t="s">
        <v>560</v>
      </c>
      <c r="D182" s="466"/>
      <c r="E182" s="466"/>
      <c r="F182" s="194" t="s">
        <v>533</v>
      </c>
      <c r="G182" s="486"/>
      <c r="H182" s="476"/>
    </row>
    <row r="183" spans="1:8" x14ac:dyDescent="0.35">
      <c r="A183" s="476"/>
      <c r="B183" s="477"/>
      <c r="C183" s="466" t="s">
        <v>527</v>
      </c>
      <c r="D183" s="466"/>
      <c r="E183" s="466"/>
      <c r="F183" s="194" t="s">
        <v>526</v>
      </c>
      <c r="G183" s="486"/>
      <c r="H183" s="476"/>
    </row>
    <row r="184" spans="1:8" x14ac:dyDescent="0.35">
      <c r="A184" s="476"/>
      <c r="B184" s="477"/>
      <c r="C184" s="508" t="s">
        <v>528</v>
      </c>
      <c r="D184" s="508"/>
      <c r="E184" s="508"/>
      <c r="F184" s="194" t="s">
        <v>529</v>
      </c>
      <c r="G184" s="486"/>
      <c r="H184" s="476"/>
    </row>
    <row r="185" spans="1:8" x14ac:dyDescent="0.35">
      <c r="A185" s="476"/>
      <c r="B185" s="477"/>
      <c r="C185" s="508" t="s">
        <v>530</v>
      </c>
      <c r="D185" s="508"/>
      <c r="E185" s="508"/>
      <c r="F185" s="194" t="s">
        <v>529</v>
      </c>
      <c r="G185" s="486"/>
      <c r="H185" s="476"/>
    </row>
    <row r="186" spans="1:8" x14ac:dyDescent="0.35">
      <c r="A186" s="476"/>
      <c r="B186" s="477"/>
      <c r="C186" s="508" t="s">
        <v>547</v>
      </c>
      <c r="D186" s="508"/>
      <c r="E186" s="508"/>
      <c r="F186" s="194" t="s">
        <v>529</v>
      </c>
      <c r="G186" s="486"/>
      <c r="H186" s="476"/>
    </row>
    <row r="187" spans="1:8" x14ac:dyDescent="0.35">
      <c r="A187" s="487" t="s">
        <v>572</v>
      </c>
      <c r="B187" s="488"/>
      <c r="C187" s="488"/>
      <c r="D187" s="488"/>
      <c r="E187" s="488"/>
      <c r="F187" s="488"/>
      <c r="G187" s="488"/>
      <c r="H187" s="489"/>
    </row>
    <row r="188" spans="1:8" x14ac:dyDescent="0.35">
      <c r="A188" s="493"/>
      <c r="B188" s="494"/>
      <c r="C188" s="465" t="s">
        <v>517</v>
      </c>
      <c r="D188" s="465"/>
      <c r="E188" s="465"/>
      <c r="F188" s="465"/>
      <c r="G188" s="495"/>
      <c r="H188" s="493"/>
    </row>
    <row r="189" spans="1:8" x14ac:dyDescent="0.35">
      <c r="A189" s="476"/>
      <c r="B189" s="477"/>
      <c r="C189" s="466" t="s">
        <v>518</v>
      </c>
      <c r="D189" s="466"/>
      <c r="E189" s="466"/>
      <c r="F189" s="194" t="s">
        <v>531</v>
      </c>
      <c r="G189" s="486"/>
      <c r="H189" s="476"/>
    </row>
    <row r="190" spans="1:8" x14ac:dyDescent="0.35">
      <c r="A190" s="476"/>
      <c r="B190" s="477"/>
      <c r="C190" s="466" t="s">
        <v>520</v>
      </c>
      <c r="D190" s="466"/>
      <c r="E190" s="466"/>
      <c r="F190" s="194" t="s">
        <v>521</v>
      </c>
      <c r="G190" s="486"/>
      <c r="H190" s="476"/>
    </row>
    <row r="191" spans="1:8" x14ac:dyDescent="0.35">
      <c r="A191" s="476"/>
      <c r="B191" s="477"/>
      <c r="C191" s="466" t="s">
        <v>522</v>
      </c>
      <c r="D191" s="466"/>
      <c r="E191" s="466"/>
      <c r="F191" s="194" t="s">
        <v>571</v>
      </c>
      <c r="G191" s="486"/>
      <c r="H191" s="476"/>
    </row>
    <row r="192" spans="1:8" x14ac:dyDescent="0.35">
      <c r="A192" s="476"/>
      <c r="B192" s="477"/>
      <c r="C192" s="466" t="s">
        <v>542</v>
      </c>
      <c r="D192" s="466"/>
      <c r="E192" s="466"/>
      <c r="F192" s="195">
        <v>5</v>
      </c>
      <c r="G192" s="486"/>
      <c r="H192" s="476"/>
    </row>
    <row r="193" spans="1:8" x14ac:dyDescent="0.35">
      <c r="A193" s="476"/>
      <c r="B193" s="477"/>
      <c r="C193" s="466" t="s">
        <v>543</v>
      </c>
      <c r="D193" s="466"/>
      <c r="E193" s="466"/>
      <c r="F193" s="194" t="s">
        <v>544</v>
      </c>
      <c r="G193" s="486"/>
      <c r="H193" s="476"/>
    </row>
    <row r="194" spans="1:8" x14ac:dyDescent="0.35">
      <c r="A194" s="476"/>
      <c r="B194" s="477"/>
      <c r="C194" s="492" t="s">
        <v>524</v>
      </c>
      <c r="D194" s="492"/>
      <c r="E194" s="492"/>
      <c r="F194" s="492"/>
      <c r="G194" s="486"/>
      <c r="H194" s="476"/>
    </row>
    <row r="195" spans="1:8" x14ac:dyDescent="0.35">
      <c r="A195" s="476"/>
      <c r="B195" s="477"/>
      <c r="C195" s="466" t="s">
        <v>560</v>
      </c>
      <c r="D195" s="466"/>
      <c r="E195" s="466"/>
      <c r="F195" s="194" t="s">
        <v>533</v>
      </c>
      <c r="G195" s="486"/>
      <c r="H195" s="476"/>
    </row>
    <row r="196" spans="1:8" x14ac:dyDescent="0.35">
      <c r="A196" s="476"/>
      <c r="B196" s="477"/>
      <c r="C196" s="466" t="s">
        <v>527</v>
      </c>
      <c r="D196" s="466"/>
      <c r="E196" s="466"/>
      <c r="F196" s="194" t="s">
        <v>526</v>
      </c>
      <c r="G196" s="486"/>
      <c r="H196" s="476"/>
    </row>
    <row r="197" spans="1:8" x14ac:dyDescent="0.35">
      <c r="A197" s="476"/>
      <c r="B197" s="477"/>
      <c r="C197" s="508" t="s">
        <v>528</v>
      </c>
      <c r="D197" s="508"/>
      <c r="E197" s="508"/>
      <c r="F197" s="194" t="s">
        <v>529</v>
      </c>
      <c r="G197" s="486"/>
      <c r="H197" s="476"/>
    </row>
    <row r="198" spans="1:8" x14ac:dyDescent="0.35">
      <c r="A198" s="476"/>
      <c r="B198" s="477"/>
      <c r="C198" s="499" t="s">
        <v>547</v>
      </c>
      <c r="D198" s="500"/>
      <c r="E198" s="501"/>
      <c r="F198" s="194" t="s">
        <v>529</v>
      </c>
      <c r="G198" s="486"/>
      <c r="H198" s="476"/>
    </row>
    <row r="199" spans="1:8" x14ac:dyDescent="0.35">
      <c r="A199" s="487" t="s">
        <v>573</v>
      </c>
      <c r="B199" s="488"/>
      <c r="C199" s="488"/>
      <c r="D199" s="488"/>
      <c r="E199" s="488"/>
      <c r="F199" s="488"/>
      <c r="G199" s="488"/>
      <c r="H199" s="489"/>
    </row>
    <row r="200" spans="1:8" x14ac:dyDescent="0.35">
      <c r="A200" s="493"/>
      <c r="B200" s="494"/>
      <c r="C200" s="465" t="s">
        <v>517</v>
      </c>
      <c r="D200" s="465"/>
      <c r="E200" s="465"/>
      <c r="F200" s="465"/>
      <c r="G200" s="495"/>
      <c r="H200" s="493"/>
    </row>
    <row r="201" spans="1:8" x14ac:dyDescent="0.35">
      <c r="A201" s="476"/>
      <c r="B201" s="477"/>
      <c r="C201" s="466" t="s">
        <v>518</v>
      </c>
      <c r="D201" s="466"/>
      <c r="E201" s="466"/>
      <c r="F201" s="194" t="s">
        <v>531</v>
      </c>
      <c r="G201" s="486"/>
      <c r="H201" s="476"/>
    </row>
    <row r="202" spans="1:8" x14ac:dyDescent="0.35">
      <c r="A202" s="476"/>
      <c r="B202" s="477"/>
      <c r="C202" s="466" t="s">
        <v>520</v>
      </c>
      <c r="D202" s="466"/>
      <c r="E202" s="466"/>
      <c r="F202" s="194" t="s">
        <v>521</v>
      </c>
      <c r="G202" s="486"/>
      <c r="H202" s="476"/>
    </row>
    <row r="203" spans="1:8" x14ac:dyDescent="0.35">
      <c r="A203" s="476"/>
      <c r="B203" s="477"/>
      <c r="C203" s="466" t="s">
        <v>522</v>
      </c>
      <c r="D203" s="466"/>
      <c r="E203" s="466"/>
      <c r="F203" s="194" t="s">
        <v>571</v>
      </c>
      <c r="G203" s="486"/>
      <c r="H203" s="476"/>
    </row>
    <row r="204" spans="1:8" x14ac:dyDescent="0.35">
      <c r="A204" s="476"/>
      <c r="B204" s="477"/>
      <c r="C204" s="466" t="s">
        <v>542</v>
      </c>
      <c r="D204" s="466"/>
      <c r="E204" s="466"/>
      <c r="F204" s="195">
        <v>5</v>
      </c>
      <c r="G204" s="486"/>
      <c r="H204" s="476"/>
    </row>
    <row r="205" spans="1:8" x14ac:dyDescent="0.35">
      <c r="A205" s="476"/>
      <c r="B205" s="477"/>
      <c r="C205" s="466" t="s">
        <v>543</v>
      </c>
      <c r="D205" s="466"/>
      <c r="E205" s="466"/>
      <c r="F205" s="194" t="s">
        <v>544</v>
      </c>
      <c r="G205" s="486"/>
      <c r="H205" s="476"/>
    </row>
    <row r="206" spans="1:8" x14ac:dyDescent="0.35">
      <c r="A206" s="476"/>
      <c r="B206" s="477"/>
      <c r="C206" s="492" t="s">
        <v>524</v>
      </c>
      <c r="D206" s="492"/>
      <c r="E206" s="492"/>
      <c r="F206" s="492"/>
      <c r="G206" s="486"/>
      <c r="H206" s="476"/>
    </row>
    <row r="207" spans="1:8" x14ac:dyDescent="0.35">
      <c r="A207" s="476"/>
      <c r="B207" s="477"/>
      <c r="C207" s="466" t="s">
        <v>560</v>
      </c>
      <c r="D207" s="466"/>
      <c r="E207" s="466"/>
      <c r="F207" s="194" t="s">
        <v>533</v>
      </c>
      <c r="G207" s="486"/>
      <c r="H207" s="476"/>
    </row>
    <row r="208" spans="1:8" x14ac:dyDescent="0.35">
      <c r="A208" s="476"/>
      <c r="B208" s="477"/>
      <c r="C208" s="466" t="s">
        <v>527</v>
      </c>
      <c r="D208" s="466"/>
      <c r="E208" s="466"/>
      <c r="F208" s="194" t="s">
        <v>526</v>
      </c>
      <c r="G208" s="486"/>
      <c r="H208" s="476"/>
    </row>
    <row r="209" spans="1:8" x14ac:dyDescent="0.35">
      <c r="A209" s="476"/>
      <c r="B209" s="477"/>
      <c r="C209" s="508" t="s">
        <v>528</v>
      </c>
      <c r="D209" s="508"/>
      <c r="E209" s="508"/>
      <c r="F209" s="194" t="s">
        <v>529</v>
      </c>
      <c r="G209" s="486"/>
      <c r="H209" s="476"/>
    </row>
    <row r="210" spans="1:8" x14ac:dyDescent="0.35">
      <c r="A210" s="476"/>
      <c r="B210" s="477"/>
      <c r="C210" s="499" t="s">
        <v>547</v>
      </c>
      <c r="D210" s="500"/>
      <c r="E210" s="501"/>
      <c r="F210" s="194" t="s">
        <v>529</v>
      </c>
      <c r="G210" s="486"/>
      <c r="H210" s="476"/>
    </row>
    <row r="211" spans="1:8" x14ac:dyDescent="0.35">
      <c r="A211" s="487" t="s">
        <v>574</v>
      </c>
      <c r="B211" s="488"/>
      <c r="C211" s="488"/>
      <c r="D211" s="488"/>
      <c r="E211" s="488"/>
      <c r="F211" s="488"/>
      <c r="G211" s="488"/>
      <c r="H211" s="489"/>
    </row>
    <row r="212" spans="1:8" x14ac:dyDescent="0.35">
      <c r="A212" s="493"/>
      <c r="B212" s="494"/>
      <c r="C212" s="465" t="s">
        <v>517</v>
      </c>
      <c r="D212" s="465"/>
      <c r="E212" s="465"/>
      <c r="F212" s="465"/>
      <c r="G212" s="495"/>
      <c r="H212" s="493"/>
    </row>
    <row r="213" spans="1:8" x14ac:dyDescent="0.35">
      <c r="A213" s="476"/>
      <c r="B213" s="477"/>
      <c r="C213" s="466" t="s">
        <v>518</v>
      </c>
      <c r="D213" s="466"/>
      <c r="E213" s="466"/>
      <c r="F213" s="194" t="s">
        <v>531</v>
      </c>
      <c r="G213" s="486"/>
      <c r="H213" s="476"/>
    </row>
    <row r="214" spans="1:8" x14ac:dyDescent="0.35">
      <c r="A214" s="476"/>
      <c r="B214" s="477"/>
      <c r="C214" s="466" t="s">
        <v>520</v>
      </c>
      <c r="D214" s="466"/>
      <c r="E214" s="466"/>
      <c r="F214" s="194" t="s">
        <v>521</v>
      </c>
      <c r="G214" s="486"/>
      <c r="H214" s="476"/>
    </row>
    <row r="215" spans="1:8" x14ac:dyDescent="0.35">
      <c r="A215" s="476"/>
      <c r="B215" s="477"/>
      <c r="C215" s="466" t="s">
        <v>522</v>
      </c>
      <c r="D215" s="466"/>
      <c r="E215" s="466"/>
      <c r="F215" s="194" t="s">
        <v>571</v>
      </c>
      <c r="G215" s="486"/>
      <c r="H215" s="476"/>
    </row>
    <row r="216" spans="1:8" x14ac:dyDescent="0.35">
      <c r="A216" s="476"/>
      <c r="B216" s="477"/>
      <c r="C216" s="466" t="s">
        <v>542</v>
      </c>
      <c r="D216" s="466"/>
      <c r="E216" s="466"/>
      <c r="F216" s="195">
        <v>5</v>
      </c>
      <c r="G216" s="486"/>
      <c r="H216" s="476"/>
    </row>
    <row r="217" spans="1:8" x14ac:dyDescent="0.35">
      <c r="A217" s="476"/>
      <c r="B217" s="477"/>
      <c r="C217" s="466" t="s">
        <v>543</v>
      </c>
      <c r="D217" s="466"/>
      <c r="E217" s="466"/>
      <c r="F217" s="194" t="s">
        <v>544</v>
      </c>
      <c r="G217" s="486"/>
      <c r="H217" s="476"/>
    </row>
    <row r="218" spans="1:8" x14ac:dyDescent="0.35">
      <c r="A218" s="476"/>
      <c r="B218" s="477"/>
      <c r="C218" s="492" t="s">
        <v>524</v>
      </c>
      <c r="D218" s="492"/>
      <c r="E218" s="492"/>
      <c r="F218" s="492"/>
      <c r="G218" s="486"/>
      <c r="H218" s="476"/>
    </row>
    <row r="219" spans="1:8" x14ac:dyDescent="0.35">
      <c r="A219" s="476"/>
      <c r="B219" s="477"/>
      <c r="C219" s="466" t="s">
        <v>560</v>
      </c>
      <c r="D219" s="466"/>
      <c r="E219" s="466"/>
      <c r="F219" s="194" t="s">
        <v>533</v>
      </c>
      <c r="G219" s="486"/>
      <c r="H219" s="476"/>
    </row>
    <row r="220" spans="1:8" x14ac:dyDescent="0.35">
      <c r="A220" s="476"/>
      <c r="B220" s="477"/>
      <c r="C220" s="466" t="s">
        <v>527</v>
      </c>
      <c r="D220" s="466"/>
      <c r="E220" s="466"/>
      <c r="F220" s="194" t="s">
        <v>526</v>
      </c>
      <c r="G220" s="486"/>
      <c r="H220" s="476"/>
    </row>
    <row r="221" spans="1:8" x14ac:dyDescent="0.35">
      <c r="A221" s="476"/>
      <c r="B221" s="477"/>
      <c r="C221" s="508" t="s">
        <v>528</v>
      </c>
      <c r="D221" s="508"/>
      <c r="E221" s="508"/>
      <c r="F221" s="194" t="s">
        <v>529</v>
      </c>
      <c r="G221" s="486"/>
      <c r="H221" s="476"/>
    </row>
    <row r="222" spans="1:8" x14ac:dyDescent="0.35">
      <c r="A222" s="510"/>
      <c r="B222" s="511"/>
      <c r="C222" s="499" t="s">
        <v>547</v>
      </c>
      <c r="D222" s="500"/>
      <c r="E222" s="501"/>
      <c r="F222" s="194" t="s">
        <v>529</v>
      </c>
      <c r="G222" s="509"/>
      <c r="H222" s="510"/>
    </row>
    <row r="223" spans="1:8" x14ac:dyDescent="0.35">
      <c r="A223" s="487" t="s">
        <v>575</v>
      </c>
      <c r="B223" s="488"/>
      <c r="C223" s="488"/>
      <c r="D223" s="488"/>
      <c r="E223" s="488"/>
      <c r="F223" s="488"/>
      <c r="G223" s="488"/>
      <c r="H223" s="489"/>
    </row>
    <row r="224" spans="1:8" x14ac:dyDescent="0.35">
      <c r="A224" s="493"/>
      <c r="B224" s="494"/>
      <c r="C224" s="465" t="s">
        <v>517</v>
      </c>
      <c r="D224" s="465"/>
      <c r="E224" s="465"/>
      <c r="F224" s="465"/>
      <c r="G224" s="495"/>
      <c r="H224" s="493"/>
    </row>
    <row r="225" spans="1:8" x14ac:dyDescent="0.35">
      <c r="A225" s="476"/>
      <c r="B225" s="477"/>
      <c r="C225" s="466" t="s">
        <v>518</v>
      </c>
      <c r="D225" s="466"/>
      <c r="E225" s="466"/>
      <c r="F225" s="194" t="s">
        <v>531</v>
      </c>
      <c r="G225" s="486"/>
      <c r="H225" s="476"/>
    </row>
    <row r="226" spans="1:8" x14ac:dyDescent="0.35">
      <c r="A226" s="476"/>
      <c r="B226" s="477"/>
      <c r="C226" s="466" t="s">
        <v>520</v>
      </c>
      <c r="D226" s="466"/>
      <c r="E226" s="466"/>
      <c r="F226" s="194" t="s">
        <v>521</v>
      </c>
      <c r="G226" s="486"/>
      <c r="H226" s="476"/>
    </row>
    <row r="227" spans="1:8" x14ac:dyDescent="0.35">
      <c r="A227" s="476"/>
      <c r="B227" s="477"/>
      <c r="C227" s="466" t="s">
        <v>522</v>
      </c>
      <c r="D227" s="466"/>
      <c r="E227" s="466"/>
      <c r="F227" s="194" t="s">
        <v>571</v>
      </c>
      <c r="G227" s="486"/>
      <c r="H227" s="476"/>
    </row>
    <row r="228" spans="1:8" x14ac:dyDescent="0.35">
      <c r="A228" s="476"/>
      <c r="B228" s="477"/>
      <c r="C228" s="466" t="s">
        <v>542</v>
      </c>
      <c r="D228" s="466"/>
      <c r="E228" s="466"/>
      <c r="F228" s="195">
        <v>5</v>
      </c>
      <c r="G228" s="486"/>
      <c r="H228" s="476"/>
    </row>
    <row r="229" spans="1:8" x14ac:dyDescent="0.35">
      <c r="A229" s="476"/>
      <c r="B229" s="477"/>
      <c r="C229" s="466" t="s">
        <v>543</v>
      </c>
      <c r="D229" s="466"/>
      <c r="E229" s="466"/>
      <c r="F229" s="194" t="s">
        <v>544</v>
      </c>
      <c r="G229" s="486"/>
      <c r="H229" s="476"/>
    </row>
    <row r="230" spans="1:8" x14ac:dyDescent="0.35">
      <c r="A230" s="476"/>
      <c r="B230" s="477"/>
      <c r="C230" s="492" t="s">
        <v>524</v>
      </c>
      <c r="D230" s="492"/>
      <c r="E230" s="492"/>
      <c r="F230" s="492"/>
      <c r="G230" s="486"/>
      <c r="H230" s="476"/>
    </row>
    <row r="231" spans="1:8" x14ac:dyDescent="0.35">
      <c r="A231" s="476"/>
      <c r="B231" s="477"/>
      <c r="C231" s="466" t="s">
        <v>560</v>
      </c>
      <c r="D231" s="466"/>
      <c r="E231" s="466"/>
      <c r="F231" s="194" t="s">
        <v>533</v>
      </c>
      <c r="G231" s="486"/>
      <c r="H231" s="476"/>
    </row>
    <row r="232" spans="1:8" x14ac:dyDescent="0.35">
      <c r="A232" s="476"/>
      <c r="B232" s="477"/>
      <c r="C232" s="466" t="s">
        <v>527</v>
      </c>
      <c r="D232" s="466"/>
      <c r="E232" s="466"/>
      <c r="F232" s="194" t="s">
        <v>526</v>
      </c>
      <c r="G232" s="486"/>
      <c r="H232" s="476"/>
    </row>
    <row r="233" spans="1:8" x14ac:dyDescent="0.35">
      <c r="A233" s="476"/>
      <c r="B233" s="477"/>
      <c r="C233" s="508" t="s">
        <v>528</v>
      </c>
      <c r="D233" s="508"/>
      <c r="E233" s="508"/>
      <c r="F233" s="194" t="s">
        <v>529</v>
      </c>
      <c r="G233" s="486"/>
      <c r="H233" s="476"/>
    </row>
    <row r="234" spans="1:8" x14ac:dyDescent="0.35">
      <c r="A234" s="476"/>
      <c r="B234" s="477"/>
      <c r="C234" s="499" t="s">
        <v>547</v>
      </c>
      <c r="D234" s="500"/>
      <c r="E234" s="501"/>
      <c r="F234" s="194" t="s">
        <v>529</v>
      </c>
      <c r="G234" s="486"/>
      <c r="H234" s="476"/>
    </row>
  </sheetData>
  <mergeCells count="288">
    <mergeCell ref="C234:E234"/>
    <mergeCell ref="A224:B234"/>
    <mergeCell ref="G212:G222"/>
    <mergeCell ref="H212:H222"/>
    <mergeCell ref="G224:G234"/>
    <mergeCell ref="H224:H234"/>
    <mergeCell ref="C228:E228"/>
    <mergeCell ref="C229:E229"/>
    <mergeCell ref="C230:F230"/>
    <mergeCell ref="C231:E231"/>
    <mergeCell ref="C232:E232"/>
    <mergeCell ref="C233:E233"/>
    <mergeCell ref="A223:H223"/>
    <mergeCell ref="A212:B222"/>
    <mergeCell ref="C224:F224"/>
    <mergeCell ref="C225:E225"/>
    <mergeCell ref="C226:E226"/>
    <mergeCell ref="C227:E227"/>
    <mergeCell ref="C217:E217"/>
    <mergeCell ref="C218:F218"/>
    <mergeCell ref="C219:E219"/>
    <mergeCell ref="C220:E220"/>
    <mergeCell ref="C221:E221"/>
    <mergeCell ref="C222:E222"/>
    <mergeCell ref="A211:H211"/>
    <mergeCell ref="C212:F212"/>
    <mergeCell ref="C213:E213"/>
    <mergeCell ref="C214:E214"/>
    <mergeCell ref="C215:E215"/>
    <mergeCell ref="C216:E216"/>
    <mergeCell ref="C205:E205"/>
    <mergeCell ref="C206:F206"/>
    <mergeCell ref="C207:E207"/>
    <mergeCell ref="C208:E208"/>
    <mergeCell ref="C209:E209"/>
    <mergeCell ref="C210:E210"/>
    <mergeCell ref="A199:H199"/>
    <mergeCell ref="C200:F200"/>
    <mergeCell ref="C201:E201"/>
    <mergeCell ref="C202:E202"/>
    <mergeCell ref="C203:E203"/>
    <mergeCell ref="C204:E204"/>
    <mergeCell ref="A200:B210"/>
    <mergeCell ref="G200:G210"/>
    <mergeCell ref="H200:H210"/>
    <mergeCell ref="C193:E193"/>
    <mergeCell ref="C194:F194"/>
    <mergeCell ref="C195:E195"/>
    <mergeCell ref="C196:E196"/>
    <mergeCell ref="C197:E197"/>
    <mergeCell ref="C198:E198"/>
    <mergeCell ref="A187:H187"/>
    <mergeCell ref="C188:F188"/>
    <mergeCell ref="C189:E189"/>
    <mergeCell ref="C190:E190"/>
    <mergeCell ref="C191:E191"/>
    <mergeCell ref="C192:E192"/>
    <mergeCell ref="A188:B198"/>
    <mergeCell ref="G188:G198"/>
    <mergeCell ref="H188:H198"/>
    <mergeCell ref="C184:E184"/>
    <mergeCell ref="C185:E185"/>
    <mergeCell ref="C186:E186"/>
    <mergeCell ref="A175:B186"/>
    <mergeCell ref="G175:G186"/>
    <mergeCell ref="H175:H186"/>
    <mergeCell ref="C178:E178"/>
    <mergeCell ref="C179:E179"/>
    <mergeCell ref="C180:E180"/>
    <mergeCell ref="C181:F181"/>
    <mergeCell ref="C182:E182"/>
    <mergeCell ref="C183:E183"/>
    <mergeCell ref="G163:G173"/>
    <mergeCell ref="H163:H173"/>
    <mergeCell ref="A174:H174"/>
    <mergeCell ref="C175:F175"/>
    <mergeCell ref="C176:E176"/>
    <mergeCell ref="C177:E177"/>
    <mergeCell ref="C169:F169"/>
    <mergeCell ref="C170:E170"/>
    <mergeCell ref="C171:E171"/>
    <mergeCell ref="C172:E172"/>
    <mergeCell ref="C173:E173"/>
    <mergeCell ref="A163:B173"/>
    <mergeCell ref="C163:F163"/>
    <mergeCell ref="C164:E164"/>
    <mergeCell ref="C165:E165"/>
    <mergeCell ref="C166:E166"/>
    <mergeCell ref="C167:E167"/>
    <mergeCell ref="C168:E168"/>
    <mergeCell ref="G152:G161"/>
    <mergeCell ref="H152:H161"/>
    <mergeCell ref="G141:G150"/>
    <mergeCell ref="H141:H150"/>
    <mergeCell ref="A162:H162"/>
    <mergeCell ref="C158:F158"/>
    <mergeCell ref="C159:E159"/>
    <mergeCell ref="C160:E160"/>
    <mergeCell ref="C161:E161"/>
    <mergeCell ref="A141:B150"/>
    <mergeCell ref="A152:B161"/>
    <mergeCell ref="C152:F152"/>
    <mergeCell ref="C153:E153"/>
    <mergeCell ref="C154:E154"/>
    <mergeCell ref="C155:E155"/>
    <mergeCell ref="C156:E156"/>
    <mergeCell ref="C157:E157"/>
    <mergeCell ref="C146:E146"/>
    <mergeCell ref="C147:F147"/>
    <mergeCell ref="C148:E148"/>
    <mergeCell ref="C149:E149"/>
    <mergeCell ref="C150:E150"/>
    <mergeCell ref="A151:H151"/>
    <mergeCell ref="A140:H140"/>
    <mergeCell ref="C141:F141"/>
    <mergeCell ref="C142:E142"/>
    <mergeCell ref="C143:E143"/>
    <mergeCell ref="C144:E144"/>
    <mergeCell ref="C145:E145"/>
    <mergeCell ref="C137:E137"/>
    <mergeCell ref="C138:E138"/>
    <mergeCell ref="C139:E139"/>
    <mergeCell ref="A130:B139"/>
    <mergeCell ref="G130:G139"/>
    <mergeCell ref="H130:H139"/>
    <mergeCell ref="C131:E131"/>
    <mergeCell ref="C132:E132"/>
    <mergeCell ref="C133:E133"/>
    <mergeCell ref="C134:E134"/>
    <mergeCell ref="C135:E135"/>
    <mergeCell ref="C136:F136"/>
    <mergeCell ref="C128:E128"/>
    <mergeCell ref="A117:B128"/>
    <mergeCell ref="G117:G128"/>
    <mergeCell ref="H117:H128"/>
    <mergeCell ref="A129:H129"/>
    <mergeCell ref="C130:F130"/>
    <mergeCell ref="C122:E122"/>
    <mergeCell ref="C123:F123"/>
    <mergeCell ref="C124:E124"/>
    <mergeCell ref="C125:E125"/>
    <mergeCell ref="C126:E126"/>
    <mergeCell ref="C127:E127"/>
    <mergeCell ref="A116:H116"/>
    <mergeCell ref="C117:F117"/>
    <mergeCell ref="C118:E118"/>
    <mergeCell ref="C119:E119"/>
    <mergeCell ref="C120:E120"/>
    <mergeCell ref="C121:E121"/>
    <mergeCell ref="C111:E111"/>
    <mergeCell ref="C112:E112"/>
    <mergeCell ref="C113:E113"/>
    <mergeCell ref="C114:E114"/>
    <mergeCell ref="C115:E115"/>
    <mergeCell ref="A104:B115"/>
    <mergeCell ref="C105:E105"/>
    <mergeCell ref="C106:E106"/>
    <mergeCell ref="C107:E107"/>
    <mergeCell ref="C108:E108"/>
    <mergeCell ref="C109:E109"/>
    <mergeCell ref="C110:F110"/>
    <mergeCell ref="A91:B102"/>
    <mergeCell ref="A12:B20"/>
    <mergeCell ref="G91:G102"/>
    <mergeCell ref="H91:H102"/>
    <mergeCell ref="A103:H103"/>
    <mergeCell ref="C104:F104"/>
    <mergeCell ref="G104:G115"/>
    <mergeCell ref="H104:H115"/>
    <mergeCell ref="C97:F97"/>
    <mergeCell ref="C98:E98"/>
    <mergeCell ref="C99:E99"/>
    <mergeCell ref="C100:E100"/>
    <mergeCell ref="C101:E101"/>
    <mergeCell ref="C102:E102"/>
    <mergeCell ref="C91:F91"/>
    <mergeCell ref="C92:E92"/>
    <mergeCell ref="C93:E93"/>
    <mergeCell ref="C94:E94"/>
    <mergeCell ref="C95:E95"/>
    <mergeCell ref="C96:E96"/>
    <mergeCell ref="C88:E88"/>
    <mergeCell ref="C89:E89"/>
    <mergeCell ref="A78:B89"/>
    <mergeCell ref="G78:G89"/>
    <mergeCell ref="G65:G76"/>
    <mergeCell ref="C67:E67"/>
    <mergeCell ref="C68:E68"/>
    <mergeCell ref="C69:E69"/>
    <mergeCell ref="C70:E70"/>
    <mergeCell ref="C71:F71"/>
    <mergeCell ref="C72:E72"/>
    <mergeCell ref="H78:H89"/>
    <mergeCell ref="A90:H90"/>
    <mergeCell ref="C82:E82"/>
    <mergeCell ref="C83:E83"/>
    <mergeCell ref="C84:F84"/>
    <mergeCell ref="C85:E85"/>
    <mergeCell ref="C86:E86"/>
    <mergeCell ref="C87:E87"/>
    <mergeCell ref="A77:H77"/>
    <mergeCell ref="C78:F78"/>
    <mergeCell ref="C79:E79"/>
    <mergeCell ref="C80:E80"/>
    <mergeCell ref="C81:E81"/>
    <mergeCell ref="A52:B63"/>
    <mergeCell ref="G52:G63"/>
    <mergeCell ref="H52:H63"/>
    <mergeCell ref="A64:H64"/>
    <mergeCell ref="C65:F65"/>
    <mergeCell ref="C66:E66"/>
    <mergeCell ref="H65:H76"/>
    <mergeCell ref="C58:F58"/>
    <mergeCell ref="C59:E59"/>
    <mergeCell ref="C60:E60"/>
    <mergeCell ref="C61:E61"/>
    <mergeCell ref="C62:E62"/>
    <mergeCell ref="C63:E63"/>
    <mergeCell ref="C52:F52"/>
    <mergeCell ref="C53:E53"/>
    <mergeCell ref="C54:E54"/>
    <mergeCell ref="C55:E55"/>
    <mergeCell ref="C56:E56"/>
    <mergeCell ref="C57:E57"/>
    <mergeCell ref="C73:E73"/>
    <mergeCell ref="C74:E74"/>
    <mergeCell ref="C75:E75"/>
    <mergeCell ref="C76:E76"/>
    <mergeCell ref="A65:B76"/>
    <mergeCell ref="C50:E50"/>
    <mergeCell ref="A42:B50"/>
    <mergeCell ref="G42:G50"/>
    <mergeCell ref="H42:H50"/>
    <mergeCell ref="A51:H51"/>
    <mergeCell ref="C44:E44"/>
    <mergeCell ref="C45:E45"/>
    <mergeCell ref="C46:E46"/>
    <mergeCell ref="C47:E47"/>
    <mergeCell ref="C48:F48"/>
    <mergeCell ref="C49:E49"/>
    <mergeCell ref="A22:B30"/>
    <mergeCell ref="G22:G30"/>
    <mergeCell ref="H22:H30"/>
    <mergeCell ref="G32:G40"/>
    <mergeCell ref="H32:H40"/>
    <mergeCell ref="A41:H41"/>
    <mergeCell ref="C42:F42"/>
    <mergeCell ref="C43:E43"/>
    <mergeCell ref="C33:E33"/>
    <mergeCell ref="C34:E34"/>
    <mergeCell ref="C35:E35"/>
    <mergeCell ref="C36:F36"/>
    <mergeCell ref="C37:E37"/>
    <mergeCell ref="C38:E38"/>
    <mergeCell ref="C14:E14"/>
    <mergeCell ref="C15:E15"/>
    <mergeCell ref="C16:F16"/>
    <mergeCell ref="C17:E17"/>
    <mergeCell ref="C39:E39"/>
    <mergeCell ref="C40:E40"/>
    <mergeCell ref="A32:B40"/>
    <mergeCell ref="C29:E29"/>
    <mergeCell ref="C30:E30"/>
    <mergeCell ref="A31:H31"/>
    <mergeCell ref="C32:F32"/>
    <mergeCell ref="C27:E27"/>
    <mergeCell ref="C28:E28"/>
    <mergeCell ref="C18:E18"/>
    <mergeCell ref="C19:E19"/>
    <mergeCell ref="C20:E20"/>
    <mergeCell ref="G12:G20"/>
    <mergeCell ref="H12:H20"/>
    <mergeCell ref="A21:H21"/>
    <mergeCell ref="C22:F22"/>
    <mergeCell ref="C23:E23"/>
    <mergeCell ref="C24:E24"/>
    <mergeCell ref="C25:E25"/>
    <mergeCell ref="C26:F26"/>
    <mergeCell ref="D1:H1"/>
    <mergeCell ref="D2:H2"/>
    <mergeCell ref="D3:H3"/>
    <mergeCell ref="B5:E5"/>
    <mergeCell ref="A8:G8"/>
    <mergeCell ref="G9:G10"/>
    <mergeCell ref="A9:F10"/>
    <mergeCell ref="C12:F12"/>
    <mergeCell ref="C13:E13"/>
    <mergeCell ref="A11:H11"/>
  </mergeCells>
  <hyperlinks>
    <hyperlink ref="A5" location="Оглавление!A1" display="Оглавление"/>
    <hyperlink ref="H10" location="Скидка!A1" display="Скидка!A1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1"/>
  <sheetViews>
    <sheetView showRuler="0" view="pageBreakPreview" zoomScale="89" zoomScaleNormal="100" zoomScaleSheetLayoutView="89" workbookViewId="0">
      <selection activeCell="B15" sqref="B15"/>
    </sheetView>
  </sheetViews>
  <sheetFormatPr defaultColWidth="8.7265625" defaultRowHeight="14.5" x14ac:dyDescent="0.35"/>
  <cols>
    <col min="1" max="1" width="15.54296875" customWidth="1"/>
    <col min="2" max="2" width="12.26953125" customWidth="1"/>
    <col min="3" max="3" width="11.54296875" customWidth="1"/>
    <col min="4" max="4" width="12.1796875" customWidth="1"/>
    <col min="5" max="5" width="11.54296875" customWidth="1"/>
    <col min="6" max="6" width="11.81640625" customWidth="1"/>
    <col min="7" max="7" width="12.1796875" customWidth="1"/>
    <col min="8" max="8" width="11.54296875" hidden="1" customWidth="1"/>
  </cols>
  <sheetData>
    <row r="1" spans="1:8" x14ac:dyDescent="0.35">
      <c r="A1" t="s">
        <v>298</v>
      </c>
    </row>
    <row r="2" spans="1:8" ht="52" customHeight="1" x14ac:dyDescent="0.35">
      <c r="A2" s="183" t="s">
        <v>492</v>
      </c>
      <c r="B2" s="184" t="s">
        <v>496</v>
      </c>
      <c r="C2" s="185" t="s">
        <v>497</v>
      </c>
      <c r="D2" s="186" t="s">
        <v>498</v>
      </c>
      <c r="E2" s="187" t="s">
        <v>489</v>
      </c>
      <c r="F2" s="188" t="s">
        <v>514</v>
      </c>
      <c r="G2" s="189" t="s">
        <v>490</v>
      </c>
      <c r="H2" s="190" t="s">
        <v>576</v>
      </c>
    </row>
    <row r="3" spans="1:8" x14ac:dyDescent="0.35">
      <c r="A3" s="12" t="s">
        <v>212</v>
      </c>
      <c r="B3" s="13">
        <v>0</v>
      </c>
      <c r="C3" s="13">
        <v>0</v>
      </c>
      <c r="D3" s="13">
        <v>0</v>
      </c>
      <c r="E3" s="13">
        <v>0</v>
      </c>
      <c r="F3" s="13">
        <v>0</v>
      </c>
      <c r="G3" s="13">
        <v>0</v>
      </c>
      <c r="H3" s="37"/>
    </row>
    <row r="4" spans="1:8" x14ac:dyDescent="0.35">
      <c r="A4" s="513" t="s">
        <v>277</v>
      </c>
      <c r="B4" s="513"/>
      <c r="C4" s="513"/>
      <c r="D4" s="513"/>
      <c r="E4" s="513"/>
      <c r="F4" s="513"/>
      <c r="G4" s="513"/>
    </row>
    <row r="5" spans="1:8" x14ac:dyDescent="0.35">
      <c r="A5" s="512" t="s">
        <v>242</v>
      </c>
      <c r="B5" s="512"/>
    </row>
    <row r="6" spans="1:8" x14ac:dyDescent="0.35">
      <c r="A6" s="512" t="s">
        <v>302</v>
      </c>
      <c r="B6" s="512"/>
      <c r="C6" s="512"/>
    </row>
    <row r="7" spans="1:8" x14ac:dyDescent="0.35">
      <c r="A7" s="182" t="s">
        <v>276</v>
      </c>
      <c r="B7" s="38"/>
      <c r="C7" s="38"/>
    </row>
    <row r="8" spans="1:8" ht="0.65" hidden="1" customHeight="1" x14ac:dyDescent="0.35">
      <c r="A8" s="512" t="s">
        <v>344</v>
      </c>
      <c r="B8" s="512"/>
      <c r="C8" s="512"/>
      <c r="D8" s="512"/>
      <c r="E8" s="512"/>
      <c r="F8" s="512"/>
      <c r="G8" s="39"/>
    </row>
    <row r="9" spans="1:8" ht="44" hidden="1" thickBot="1" x14ac:dyDescent="0.4">
      <c r="A9" s="40" t="s">
        <v>342</v>
      </c>
      <c r="B9" s="41">
        <v>0</v>
      </c>
      <c r="C9" s="514" t="s">
        <v>343</v>
      </c>
      <c r="D9" s="515"/>
      <c r="E9" s="515"/>
      <c r="F9" s="516"/>
    </row>
    <row r="10" spans="1:8" ht="16" customHeight="1" x14ac:dyDescent="0.35">
      <c r="A10" s="42"/>
      <c r="B10" s="43"/>
      <c r="C10" s="44"/>
      <c r="D10" s="44"/>
      <c r="E10" s="44"/>
      <c r="F10" s="44"/>
    </row>
    <row r="11" spans="1:8" ht="15" thickBot="1" x14ac:dyDescent="0.4">
      <c r="A11" t="s">
        <v>299</v>
      </c>
    </row>
    <row r="12" spans="1:8" ht="44" thickBot="1" x14ac:dyDescent="0.4">
      <c r="A12" s="22" t="s">
        <v>296</v>
      </c>
      <c r="B12" s="23">
        <v>0</v>
      </c>
      <c r="C12" s="514" t="s">
        <v>475</v>
      </c>
      <c r="D12" s="515"/>
      <c r="E12" s="515"/>
      <c r="F12" s="516"/>
    </row>
    <row r="14" spans="1:8" ht="15" thickBot="1" x14ac:dyDescent="0.4">
      <c r="A14" s="523" t="s">
        <v>219</v>
      </c>
      <c r="B14" s="523"/>
      <c r="C14" s="14"/>
    </row>
    <row r="15" spans="1:8" ht="44" thickBot="1" x14ac:dyDescent="0.4">
      <c r="A15" s="197" t="s">
        <v>218</v>
      </c>
      <c r="B15" s="24">
        <v>43159</v>
      </c>
      <c r="C15" s="520" t="s">
        <v>301</v>
      </c>
      <c r="D15" s="521"/>
      <c r="E15" s="521"/>
      <c r="F15" s="522"/>
    </row>
    <row r="16" spans="1:8" x14ac:dyDescent="0.35">
      <c r="A16" s="16"/>
      <c r="B16" s="16"/>
    </row>
    <row r="17" spans="1:7" ht="19.5" customHeight="1" thickBot="1" x14ac:dyDescent="0.4">
      <c r="A17" s="524" t="s">
        <v>221</v>
      </c>
      <c r="B17" s="524"/>
      <c r="C17" s="15"/>
    </row>
    <row r="18" spans="1:7" ht="29.5" customHeight="1" thickBot="1" x14ac:dyDescent="0.4">
      <c r="A18" s="22" t="s">
        <v>297</v>
      </c>
      <c r="B18" s="25">
        <v>1</v>
      </c>
      <c r="C18" s="517" t="s">
        <v>220</v>
      </c>
      <c r="D18" s="518"/>
      <c r="E18" s="518"/>
      <c r="F18" s="519"/>
      <c r="G18" s="10" t="s">
        <v>224</v>
      </c>
    </row>
    <row r="19" spans="1:7" ht="18.649999999999999" customHeight="1" x14ac:dyDescent="0.35"/>
    <row r="20" spans="1:7" ht="0.65" customHeight="1" x14ac:dyDescent="0.35">
      <c r="A20" s="523" t="s">
        <v>294</v>
      </c>
      <c r="B20" s="523"/>
    </row>
    <row r="21" spans="1:7" ht="21" hidden="1" customHeight="1" thickBot="1" x14ac:dyDescent="0.4">
      <c r="A21" s="22" t="s">
        <v>293</v>
      </c>
      <c r="B21" s="25">
        <v>18</v>
      </c>
      <c r="C21" s="517" t="s">
        <v>300</v>
      </c>
      <c r="D21" s="518"/>
      <c r="E21" s="518"/>
      <c r="F21" s="519"/>
    </row>
  </sheetData>
  <mergeCells count="12">
    <mergeCell ref="C21:F21"/>
    <mergeCell ref="C15:F15"/>
    <mergeCell ref="C12:F12"/>
    <mergeCell ref="A14:B14"/>
    <mergeCell ref="A17:B17"/>
    <mergeCell ref="C18:F18"/>
    <mergeCell ref="A20:B20"/>
    <mergeCell ref="A8:F8"/>
    <mergeCell ref="A4:G4"/>
    <mergeCell ref="A5:B5"/>
    <mergeCell ref="A6:C6"/>
    <mergeCell ref="C9:F9"/>
  </mergeCells>
  <hyperlinks>
    <hyperlink ref="A7" location="Оглавление!A1" display="Оглавление"/>
    <hyperlink ref="B2" location="' Котлы ТТ'!A1" display="Котлы твердотопливные          ТГ1"/>
    <hyperlink ref="C2" location="'Комплектующие '!A1" display="Комплектующие                 ТГ2"/>
    <hyperlink ref="D2" location="'Печи банные, отопительные'!A1" display="Печи банные, воздухогрейные      ТГ3"/>
    <hyperlink ref="E2" location="'Котлы газовые'!A1" display="Котлы газовые ТГ4"/>
    <hyperlink ref="F2" location="'Электропродукция(котлы,ПУЭ,ТЭН)'!A1" display="Электропродукция ТГ5"/>
    <hyperlink ref="H2" location="'Товары для дачи и отдыха'!A1" display="Товары для дачи и отдыха ТГ6"/>
    <hyperlink ref="G2" location="'Товары для дачи и отдыха'!A1" display="Товары для дачи и отдыха ТГ6"/>
  </hyperlinks>
  <pageMargins left="3.937007874015748E-2" right="3.937007874015748E-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Оглавление</vt:lpstr>
      <vt:lpstr> Котлы ТТ</vt:lpstr>
      <vt:lpstr>Комплектующие </vt:lpstr>
      <vt:lpstr>Печи банные, отопительные</vt:lpstr>
      <vt:lpstr>Котлы газовые</vt:lpstr>
      <vt:lpstr>Электропродукция(котлы,ПУЭ,ТЭН)</vt:lpstr>
      <vt:lpstr>Товары для дачи и отдыха</vt:lpstr>
      <vt:lpstr>Гидроарматура</vt:lpstr>
      <vt:lpstr>Скидка</vt:lpstr>
      <vt:lpstr>Лист1</vt:lpstr>
      <vt:lpstr>Распродажа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Пчелинцев Алексей</cp:lastModifiedBy>
  <cp:lastPrinted>2017-09-01T09:55:03Z</cp:lastPrinted>
  <dcterms:created xsi:type="dcterms:W3CDTF">2015-08-18T07:51:06Z</dcterms:created>
  <dcterms:modified xsi:type="dcterms:W3CDTF">2018-02-28T10:04:54Z</dcterms:modified>
</cp:coreProperties>
</file>